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5225"/>
  <workbookPr/>
  <mc:AlternateContent xmlns:mc="http://schemas.openxmlformats.org/markup-compatibility/2006">
    <mc:Choice Requires="x15">
      <x15ac:absPath xmlns:x15ac="http://schemas.microsoft.com/office/spreadsheetml/2010/11/ac" url="D:\box_in\Shell_of_Spreadsheets\"/>
    </mc:Choice>
  </mc:AlternateContent>
  <xr:revisionPtr revIDLastSave="0" documentId="13_ncr:1_{7DA9BC6F-40EF-4CEF-987A-0BEB6CF6CBE1}" xr6:coauthVersionLast="47" xr6:coauthVersionMax="47" xr10:uidLastSave="{00000000-0000-0000-0000-000000000000}"/>
  <bookViews>
    <workbookView xWindow="-110" yWindow="-110" windowWidth="38620" windowHeight="21220" tabRatio="707" firstSheet="1" activeTab="1" xr2:uid="{00000000-000D-0000-FFFF-FFFF00000000}"/>
  </bookViews>
  <sheets>
    <sheet name="金融行业主要类型" sheetId="67" state="hidden" r:id="rId1"/>
    <sheet name="输入值【1】" sheetId="84" r:id="rId2"/>
    <sheet name="输出值1-总投资及收入估算表" sheetId="85" r:id="rId3"/>
    <sheet name="城商银行参数" sheetId="73" r:id="rId4"/>
    <sheet name="城商行应交税费" sheetId="80" r:id="rId5"/>
    <sheet name="国有银行参数 " sheetId="81" r:id="rId6"/>
    <sheet name="国有银行应交税费 " sheetId="82" r:id="rId7"/>
    <sheet name="个税计算表（高层）" sheetId="83" r:id="rId8"/>
    <sheet name="个税计算表 (中层)" sheetId="87" r:id="rId9"/>
    <sheet name="个税计算表 (普通)" sheetId="86" r:id="rId10"/>
    <sheet name="个税计算表 (通用) " sheetId="88" r:id="rId11"/>
    <sheet name="其他非银金融服务参数" sheetId="75" state="hidden" r:id="rId12"/>
    <sheet name="拉卡拉网点" sheetId="76" state="hidden" r:id="rId13"/>
    <sheet name="银行网点统计" sheetId="79" state="hidden" r:id="rId14"/>
    <sheet name="银行" sheetId="69" state="hidden" r:id="rId15"/>
    <sheet name="券商" sheetId="68" state="hidden" r:id="rId16"/>
    <sheet name="输入参数" sheetId="77" state="hidden" r:id="rId17"/>
    <sheet name="营收预测" sheetId="64" state="hidden" r:id="rId18"/>
    <sheet name="成本预测" sheetId="72" state="hidden" r:id="rId19"/>
    <sheet name="总投资估算表" sheetId="37" state="hidden" r:id="rId20"/>
    <sheet name="营业收入估算表" sheetId="42" state="hidden" r:id="rId21"/>
    <sheet name="总成本费用估算表" sheetId="43" state="hidden" r:id="rId22"/>
    <sheet name="折旧费用估算表" sheetId="78" state="hidden" r:id="rId23"/>
    <sheet name="摊销费用估算表" sheetId="66" state="hidden" r:id="rId24"/>
    <sheet name="还本付息表" sheetId="44" state="hidden" r:id="rId25"/>
    <sheet name="利润表" sheetId="45" state="hidden" r:id="rId26"/>
    <sheet name="项目全投资现金流量表" sheetId="71" state="hidden" r:id="rId27"/>
    <sheet name="项目资本金现金流量表" sheetId="46" state="hidden" r:id="rId28"/>
  </sheets>
  <definedNames>
    <definedName name="_xlnm._FilterDatabase" localSheetId="0" hidden="1">金融行业主要类型!$A$2:$C$14</definedName>
  </definedNames>
  <calcPr calcId="191029"/>
  <extLs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C4" i="88" l="1"/>
  <c r="C13" i="88" s="1"/>
  <c r="K7" i="83"/>
  <c r="C6" i="85"/>
  <c r="C3" i="85" s="1"/>
  <c r="K55" i="88"/>
  <c r="C2" i="88"/>
  <c r="K56" i="88"/>
  <c r="K57" i="88"/>
  <c r="K35" i="88"/>
  <c r="K36" i="88"/>
  <c r="K37" i="88"/>
  <c r="K38" i="88"/>
  <c r="K39" i="88"/>
  <c r="K40" i="88"/>
  <c r="K41" i="88"/>
  <c r="K42" i="88"/>
  <c r="K43" i="88"/>
  <c r="K44" i="88"/>
  <c r="K45" i="88"/>
  <c r="K46" i="88"/>
  <c r="K47" i="88"/>
  <c r="K48" i="88"/>
  <c r="K49" i="88"/>
  <c r="K50" i="88"/>
  <c r="K51" i="88"/>
  <c r="K52" i="88"/>
  <c r="K53" i="88"/>
  <c r="K54" i="88"/>
  <c r="K34" i="88"/>
  <c r="K7" i="88"/>
  <c r="C15" i="88"/>
  <c r="C14" i="88" s="1"/>
  <c r="C19" i="88"/>
  <c r="C20" i="88"/>
  <c r="C32" i="88"/>
  <c r="C26" i="88"/>
  <c r="J7" i="88"/>
  <c r="C3" i="88"/>
  <c r="C4" i="86"/>
  <c r="C13" i="86" s="1"/>
  <c r="C4" i="87"/>
  <c r="C3" i="87" s="1"/>
  <c r="C4" i="83"/>
  <c r="C13" i="83" s="1"/>
  <c r="K7" i="86"/>
  <c r="C15" i="86"/>
  <c r="C19" i="86"/>
  <c r="C20" i="86"/>
  <c r="C14" i="86"/>
  <c r="C32" i="86"/>
  <c r="K7" i="87"/>
  <c r="C15" i="87"/>
  <c r="C19" i="87"/>
  <c r="C20" i="87"/>
  <c r="C14" i="87"/>
  <c r="C32" i="87"/>
  <c r="C15" i="83"/>
  <c r="C19" i="83"/>
  <c r="C20" i="83"/>
  <c r="C14" i="83"/>
  <c r="C32" i="83"/>
  <c r="H3" i="80"/>
  <c r="H4" i="80"/>
  <c r="H5" i="80"/>
  <c r="H6" i="80"/>
  <c r="H7" i="80"/>
  <c r="C8" i="80"/>
  <c r="H8" i="80" s="1"/>
  <c r="F8" i="80"/>
  <c r="H2" i="80"/>
  <c r="B8" i="80"/>
  <c r="G8" i="80" s="1"/>
  <c r="G3" i="80"/>
  <c r="G4" i="80"/>
  <c r="G5" i="80"/>
  <c r="G6" i="80"/>
  <c r="G7" i="80"/>
  <c r="G2" i="80"/>
  <c r="C4" i="85"/>
  <c r="C2" i="87"/>
  <c r="C26" i="87"/>
  <c r="J7" i="87"/>
  <c r="C26" i="86"/>
  <c r="J7" i="86"/>
  <c r="J7" i="83"/>
  <c r="C26" i="83"/>
  <c r="T2" i="82"/>
  <c r="W3" i="80"/>
  <c r="W4" i="80"/>
  <c r="W5" i="80"/>
  <c r="W6" i="80"/>
  <c r="W7" i="80"/>
  <c r="N8" i="80"/>
  <c r="W8" i="80" s="1"/>
  <c r="W2" i="80"/>
  <c r="K14" i="80"/>
  <c r="K13" i="80"/>
  <c r="E8" i="80"/>
  <c r="K8" i="80" s="1"/>
  <c r="K10" i="80" s="1"/>
  <c r="K11" i="80" s="1"/>
  <c r="B10" i="80"/>
  <c r="H34" i="80"/>
  <c r="H35" i="80"/>
  <c r="H36" i="80"/>
  <c r="H37" i="80"/>
  <c r="J37" i="80" s="1"/>
  <c r="H38" i="80"/>
  <c r="H39" i="80"/>
  <c r="C3" i="73"/>
  <c r="I34" i="80"/>
  <c r="C4" i="73"/>
  <c r="C9" i="73" s="1"/>
  <c r="F9" i="73" s="1"/>
  <c r="C5" i="73"/>
  <c r="I36" i="80" s="1"/>
  <c r="C6" i="73"/>
  <c r="F6" i="73" s="1"/>
  <c r="I37" i="80"/>
  <c r="C7" i="73"/>
  <c r="I38" i="80" s="1"/>
  <c r="J38" i="80" s="1"/>
  <c r="C8" i="73"/>
  <c r="F8" i="73" s="1"/>
  <c r="I39" i="80"/>
  <c r="J39" i="80"/>
  <c r="M8" i="80"/>
  <c r="S8" i="80" s="1"/>
  <c r="D8" i="80"/>
  <c r="E40" i="80" s="1"/>
  <c r="E53" i="80" s="1"/>
  <c r="U8" i="80"/>
  <c r="O7" i="80"/>
  <c r="O8" i="80" s="1"/>
  <c r="T8" i="80" s="1"/>
  <c r="S7" i="80"/>
  <c r="U7" i="80"/>
  <c r="S6" i="80"/>
  <c r="U6" i="80"/>
  <c r="S5" i="80"/>
  <c r="U5" i="80"/>
  <c r="S4" i="80"/>
  <c r="U4" i="80"/>
  <c r="S3" i="80"/>
  <c r="U3" i="80"/>
  <c r="S2" i="80"/>
  <c r="U2" i="80"/>
  <c r="B40" i="80"/>
  <c r="D40" i="80"/>
  <c r="D53" i="80"/>
  <c r="B8" i="82"/>
  <c r="A50" i="80"/>
  <c r="L10" i="80"/>
  <c r="K8" i="82"/>
  <c r="R8" i="82" s="1"/>
  <c r="T3" i="82"/>
  <c r="T4" i="82"/>
  <c r="T5" i="82"/>
  <c r="T6" i="82"/>
  <c r="T7" i="82"/>
  <c r="AI4" i="73"/>
  <c r="AI5" i="73"/>
  <c r="AI6" i="73"/>
  <c r="AI7" i="73"/>
  <c r="AI8" i="73"/>
  <c r="AE9" i="73"/>
  <c r="AI9" i="73" s="1"/>
  <c r="AB9" i="73"/>
  <c r="H9" i="73" s="1"/>
  <c r="AI3" i="73"/>
  <c r="F34" i="73"/>
  <c r="F37" i="73" s="1"/>
  <c r="F26" i="73" s="1"/>
  <c r="G34" i="73"/>
  <c r="H34" i="73"/>
  <c r="I28" i="73"/>
  <c r="F35" i="73"/>
  <c r="I35" i="73" s="1"/>
  <c r="I24" i="73" s="1"/>
  <c r="G35" i="73"/>
  <c r="H35" i="73"/>
  <c r="F36" i="73"/>
  <c r="I36" i="73" s="1"/>
  <c r="I25" i="73" s="1"/>
  <c r="G36" i="73"/>
  <c r="H36" i="73"/>
  <c r="F31" i="73"/>
  <c r="I31" i="73" s="1"/>
  <c r="G31" i="73"/>
  <c r="G37" i="73" s="1"/>
  <c r="G26" i="73" s="1"/>
  <c r="H31" i="73"/>
  <c r="H37" i="73" s="1"/>
  <c r="H26" i="73" s="1"/>
  <c r="I29" i="73"/>
  <c r="J29" i="73" s="1"/>
  <c r="I30" i="73"/>
  <c r="J30" i="73" s="1"/>
  <c r="B22" i="82"/>
  <c r="B28" i="82" s="1"/>
  <c r="B23" i="82"/>
  <c r="B24" i="82"/>
  <c r="B25" i="82"/>
  <c r="B26" i="82"/>
  <c r="B27" i="82"/>
  <c r="C22" i="82"/>
  <c r="C28" i="82" s="1"/>
  <c r="C23" i="82"/>
  <c r="C24" i="82"/>
  <c r="C25" i="82"/>
  <c r="C26" i="82"/>
  <c r="C27" i="82"/>
  <c r="D28" i="82"/>
  <c r="E22" i="82"/>
  <c r="E28" i="82" s="1"/>
  <c r="E23" i="82"/>
  <c r="E24" i="82"/>
  <c r="E25" i="82"/>
  <c r="E26" i="82"/>
  <c r="E27" i="82"/>
  <c r="E35" i="80"/>
  <c r="E36" i="80"/>
  <c r="E37" i="80"/>
  <c r="E38" i="80"/>
  <c r="E39" i="80"/>
  <c r="E34" i="80"/>
  <c r="I3" i="80"/>
  <c r="B35" i="80"/>
  <c r="I4" i="80"/>
  <c r="B36" i="80" s="1"/>
  <c r="I5" i="80"/>
  <c r="B37" i="80" s="1"/>
  <c r="B38" i="80"/>
  <c r="I7" i="80"/>
  <c r="B39" i="80" s="1"/>
  <c r="I2" i="80"/>
  <c r="B34" i="80"/>
  <c r="C35" i="80"/>
  <c r="C36" i="80"/>
  <c r="C37" i="80"/>
  <c r="C38" i="80"/>
  <c r="C39" i="80"/>
  <c r="C34" i="80"/>
  <c r="C8" i="82"/>
  <c r="S8" i="82" s="1"/>
  <c r="S7" i="82"/>
  <c r="S6" i="82"/>
  <c r="S5" i="82"/>
  <c r="S4" i="82"/>
  <c r="S3" i="82"/>
  <c r="S2" i="82"/>
  <c r="Q2" i="82"/>
  <c r="L8" i="82"/>
  <c r="Q8" i="82"/>
  <c r="Q7" i="82"/>
  <c r="Q6" i="82"/>
  <c r="Q5" i="82"/>
  <c r="Q4" i="82"/>
  <c r="Q3" i="82"/>
  <c r="V3" i="80"/>
  <c r="V4" i="80"/>
  <c r="V5" i="80"/>
  <c r="V6" i="80"/>
  <c r="V7" i="80"/>
  <c r="V8" i="80"/>
  <c r="V2" i="80"/>
  <c r="T3" i="80"/>
  <c r="T4" i="80"/>
  <c r="T5" i="80"/>
  <c r="T6" i="80"/>
  <c r="T7" i="80"/>
  <c r="T2" i="80"/>
  <c r="K7" i="80"/>
  <c r="J7" i="80"/>
  <c r="K6" i="80"/>
  <c r="J6" i="80"/>
  <c r="K5" i="80"/>
  <c r="J5" i="80"/>
  <c r="K4" i="80"/>
  <c r="J4" i="80"/>
  <c r="K3" i="80"/>
  <c r="J3" i="80"/>
  <c r="K2" i="80"/>
  <c r="J2" i="80"/>
  <c r="H3" i="82"/>
  <c r="H4" i="82"/>
  <c r="H5" i="82"/>
  <c r="H6" i="82"/>
  <c r="H7" i="82"/>
  <c r="D8" i="82"/>
  <c r="E8" i="82"/>
  <c r="H8" i="82" s="1"/>
  <c r="H2" i="82"/>
  <c r="G3" i="82"/>
  <c r="G4" i="82"/>
  <c r="G5" i="82"/>
  <c r="G6" i="82"/>
  <c r="G7" i="82"/>
  <c r="G2" i="82"/>
  <c r="D9" i="81"/>
  <c r="G9" i="81" s="1"/>
  <c r="J8" i="82"/>
  <c r="P8" i="82" s="1"/>
  <c r="R4" i="82"/>
  <c r="R3" i="82"/>
  <c r="R5" i="82"/>
  <c r="R6" i="82"/>
  <c r="R7" i="82"/>
  <c r="R2" i="82"/>
  <c r="P3" i="82"/>
  <c r="P4" i="82"/>
  <c r="P5" i="82"/>
  <c r="P6" i="82"/>
  <c r="P7" i="82"/>
  <c r="P2" i="82"/>
  <c r="O7" i="82"/>
  <c r="O6" i="82"/>
  <c r="O4" i="82"/>
  <c r="O3" i="82"/>
  <c r="I4" i="81"/>
  <c r="I5" i="81"/>
  <c r="I6" i="81"/>
  <c r="I7" i="81"/>
  <c r="I8" i="81"/>
  <c r="I3" i="81"/>
  <c r="L9" i="81"/>
  <c r="K9" i="81"/>
  <c r="B9" i="81"/>
  <c r="J9" i="81"/>
  <c r="H9" i="81"/>
  <c r="J8" i="81"/>
  <c r="H8" i="81"/>
  <c r="E8" i="81"/>
  <c r="J7" i="81"/>
  <c r="H7" i="81"/>
  <c r="E7" i="81"/>
  <c r="J6" i="81"/>
  <c r="H6" i="81"/>
  <c r="E6" i="81"/>
  <c r="J5" i="81"/>
  <c r="H5" i="81"/>
  <c r="E5" i="81"/>
  <c r="J4" i="81"/>
  <c r="H4" i="81"/>
  <c r="E4" i="81"/>
  <c r="J3" i="81"/>
  <c r="H3" i="81"/>
  <c r="E3" i="81"/>
  <c r="E8" i="73"/>
  <c r="AC9" i="73"/>
  <c r="AE12" i="73" s="1"/>
  <c r="AF12" i="73" s="1"/>
  <c r="AD4" i="73"/>
  <c r="AD5" i="73"/>
  <c r="AD6" i="73"/>
  <c r="AD7" i="73"/>
  <c r="AD8" i="73"/>
  <c r="AD3" i="73"/>
  <c r="AF4" i="73"/>
  <c r="AF5" i="73"/>
  <c r="AF6" i="73"/>
  <c r="AF7" i="73"/>
  <c r="AF8" i="73"/>
  <c r="AA9" i="73"/>
  <c r="AF9" i="73"/>
  <c r="AF3" i="73"/>
  <c r="AH3" i="73"/>
  <c r="AH9" i="73" s="1"/>
  <c r="G9" i="73" s="1"/>
  <c r="E4" i="73"/>
  <c r="N4" i="73"/>
  <c r="N5" i="73"/>
  <c r="N6" i="73"/>
  <c r="N7" i="73"/>
  <c r="N8" i="73"/>
  <c r="R9" i="73"/>
  <c r="B9" i="73"/>
  <c r="N9" i="73"/>
  <c r="N3" i="73"/>
  <c r="O4" i="73"/>
  <c r="P4" i="73"/>
  <c r="L4" i="73" s="1"/>
  <c r="M4" i="73" s="1"/>
  <c r="O5" i="73"/>
  <c r="M5" i="73" s="1"/>
  <c r="L5" i="73"/>
  <c r="O6" i="73"/>
  <c r="M6" i="73" s="1"/>
  <c r="P6" i="73"/>
  <c r="L6" i="73"/>
  <c r="O7" i="73"/>
  <c r="L7" i="73"/>
  <c r="M7" i="73"/>
  <c r="O8" i="73"/>
  <c r="P8" i="73"/>
  <c r="L8" i="73" s="1"/>
  <c r="S9" i="73"/>
  <c r="O9" i="73"/>
  <c r="P3" i="73"/>
  <c r="P9" i="73" s="1"/>
  <c r="L9" i="73" s="1"/>
  <c r="O3" i="73"/>
  <c r="M3" i="73" s="1"/>
  <c r="L3" i="73"/>
  <c r="J3" i="73"/>
  <c r="AG3" i="73"/>
  <c r="I3" i="73" s="1"/>
  <c r="K3" i="73"/>
  <c r="AG4" i="73"/>
  <c r="K4" i="73" s="1"/>
  <c r="AG5" i="73"/>
  <c r="K5" i="73" s="1"/>
  <c r="AG6" i="73"/>
  <c r="K6" i="73"/>
  <c r="AG7" i="73"/>
  <c r="I7" i="73" s="1"/>
  <c r="AG8" i="73"/>
  <c r="K8" i="73" s="1"/>
  <c r="J4" i="73"/>
  <c r="J5" i="73"/>
  <c r="J6" i="73"/>
  <c r="J7" i="73"/>
  <c r="J8" i="73"/>
  <c r="I291" i="69"/>
  <c r="I292" i="69"/>
  <c r="I293" i="69"/>
  <c r="I294" i="69"/>
  <c r="I297" i="69" s="1"/>
  <c r="F297" i="69" s="1"/>
  <c r="I295" i="69"/>
  <c r="I296" i="69"/>
  <c r="C297" i="69"/>
  <c r="H291" i="69"/>
  <c r="H297" i="69" s="1"/>
  <c r="E297" i="69" s="1"/>
  <c r="H292" i="69"/>
  <c r="H293" i="69"/>
  <c r="H294" i="69"/>
  <c r="H295" i="69"/>
  <c r="H296" i="69"/>
  <c r="G291" i="69"/>
  <c r="G292" i="69"/>
  <c r="G293" i="69"/>
  <c r="G297" i="69" s="1"/>
  <c r="D297" i="69" s="1"/>
  <c r="G294" i="69"/>
  <c r="G295" i="69"/>
  <c r="G296" i="69"/>
  <c r="I6" i="73"/>
  <c r="I8" i="73"/>
  <c r="D9" i="73"/>
  <c r="T9" i="73"/>
  <c r="U9" i="73"/>
  <c r="V9" i="73"/>
  <c r="W9" i="73"/>
  <c r="X9" i="73"/>
  <c r="Y9" i="73"/>
  <c r="Q3" i="73"/>
  <c r="Q9" i="73" s="1"/>
  <c r="Q4" i="73"/>
  <c r="Q5" i="73"/>
  <c r="Q6" i="73"/>
  <c r="Q7" i="73"/>
  <c r="Q8" i="73"/>
  <c r="H4" i="73"/>
  <c r="H5" i="73"/>
  <c r="H6" i="73"/>
  <c r="H7" i="73"/>
  <c r="H8" i="73"/>
  <c r="H3" i="73"/>
  <c r="AH4" i="73"/>
  <c r="AH5" i="73"/>
  <c r="AH6" i="73"/>
  <c r="AH7" i="73"/>
  <c r="AH8" i="73"/>
  <c r="F4" i="73"/>
  <c r="F5" i="73"/>
  <c r="F7" i="73"/>
  <c r="F3" i="73"/>
  <c r="E9" i="73"/>
  <c r="E5" i="73"/>
  <c r="E6" i="73"/>
  <c r="E7" i="73"/>
  <c r="E3" i="73"/>
  <c r="I11" i="79"/>
  <c r="M11" i="79" s="1"/>
  <c r="G11" i="79"/>
  <c r="L6" i="79"/>
  <c r="L8" i="79"/>
  <c r="M8" i="79" s="1"/>
  <c r="L11" i="79"/>
  <c r="H11" i="79"/>
  <c r="J11" i="79"/>
  <c r="K4" i="79"/>
  <c r="K5" i="79"/>
  <c r="K6" i="79"/>
  <c r="K7" i="79"/>
  <c r="K8" i="79"/>
  <c r="K9" i="79"/>
  <c r="K10" i="79"/>
  <c r="K3" i="79"/>
  <c r="L3" i="79"/>
  <c r="M4" i="79"/>
  <c r="M5" i="79"/>
  <c r="M6" i="79"/>
  <c r="M7" i="79"/>
  <c r="M9" i="79"/>
  <c r="M10" i="79"/>
  <c r="M3" i="79"/>
  <c r="B24" i="75"/>
  <c r="B25" i="75"/>
  <c r="B26" i="75"/>
  <c r="B27" i="75"/>
  <c r="C24" i="75"/>
  <c r="C25" i="75"/>
  <c r="C26" i="75"/>
  <c r="C27" i="75"/>
  <c r="D24" i="75"/>
  <c r="D25" i="75"/>
  <c r="D26" i="75"/>
  <c r="D27" i="75"/>
  <c r="D28" i="75" s="1"/>
  <c r="E24" i="75"/>
  <c r="E25" i="75"/>
  <c r="E26" i="75"/>
  <c r="E27" i="75"/>
  <c r="F24" i="75"/>
  <c r="F25" i="75"/>
  <c r="F26" i="75"/>
  <c r="F27" i="75"/>
  <c r="F32" i="75"/>
  <c r="F33" i="75"/>
  <c r="F34" i="75"/>
  <c r="F35" i="75"/>
  <c r="F31" i="75"/>
  <c r="F30" i="75"/>
  <c r="F28" i="75"/>
  <c r="F18" i="75"/>
  <c r="F19" i="75"/>
  <c r="F20" i="75"/>
  <c r="F21" i="75"/>
  <c r="F22" i="75"/>
  <c r="F17" i="75"/>
  <c r="E39" i="37"/>
  <c r="F21" i="37"/>
  <c r="D39" i="37"/>
  <c r="C7" i="77"/>
  <c r="C23" i="77" s="1"/>
  <c r="D9" i="37" s="1"/>
  <c r="B10" i="42"/>
  <c r="B9" i="42"/>
  <c r="B8" i="42"/>
  <c r="B7" i="42"/>
  <c r="O6" i="75"/>
  <c r="E34" i="75" s="1"/>
  <c r="E28" i="75"/>
  <c r="F6" i="75"/>
  <c r="E22" i="75"/>
  <c r="G6" i="75"/>
  <c r="E21" i="75"/>
  <c r="E30" i="75" s="1"/>
  <c r="D6" i="75"/>
  <c r="E18" i="75" s="1"/>
  <c r="B41" i="64" s="1"/>
  <c r="C41" i="64" s="1"/>
  <c r="D41" i="64" s="1"/>
  <c r="E41" i="64" s="1"/>
  <c r="F41" i="64" s="1"/>
  <c r="G41" i="64" s="1"/>
  <c r="H41" i="64" s="1"/>
  <c r="I41" i="64" s="1"/>
  <c r="J41" i="64" s="1"/>
  <c r="K41" i="64" s="1"/>
  <c r="L41" i="64" s="1"/>
  <c r="M41" i="64" s="1"/>
  <c r="N41" i="64" s="1"/>
  <c r="O41" i="64" s="1"/>
  <c r="P41" i="64" s="1"/>
  <c r="Q41" i="64" s="1"/>
  <c r="R41" i="64" s="1"/>
  <c r="S41" i="64" s="1"/>
  <c r="T41" i="64" s="1"/>
  <c r="U41" i="64" s="1"/>
  <c r="P6" i="75"/>
  <c r="E20" i="75" s="1"/>
  <c r="B42" i="64" s="1"/>
  <c r="E33" i="75"/>
  <c r="N6" i="75"/>
  <c r="E6" i="75"/>
  <c r="E35" i="75"/>
  <c r="Q6" i="75"/>
  <c r="E31" i="75" s="1"/>
  <c r="C6" i="75"/>
  <c r="E17" i="75" s="1"/>
  <c r="C15" i="77"/>
  <c r="E32" i="75"/>
  <c r="C22" i="77"/>
  <c r="D5" i="37"/>
  <c r="F39" i="37"/>
  <c r="C5" i="66" s="1"/>
  <c r="C6" i="66" s="1"/>
  <c r="F6" i="66" s="1"/>
  <c r="G6" i="66" s="1"/>
  <c r="H6" i="66" s="1"/>
  <c r="I6" i="66" s="1"/>
  <c r="J6" i="66" s="1"/>
  <c r="K6" i="66" s="1"/>
  <c r="L6" i="66" s="1"/>
  <c r="M6" i="66" s="1"/>
  <c r="N6" i="66" s="1"/>
  <c r="O6" i="66" s="1"/>
  <c r="P6" i="66" s="1"/>
  <c r="Q6" i="66" s="1"/>
  <c r="R6" i="66" s="1"/>
  <c r="S6" i="66" s="1"/>
  <c r="T6" i="66" s="1"/>
  <c r="U6" i="66" s="1"/>
  <c r="V6" i="66" s="1"/>
  <c r="W6" i="66" s="1"/>
  <c r="C14" i="77"/>
  <c r="C18" i="77"/>
  <c r="C17" i="77"/>
  <c r="C36" i="77" s="1"/>
  <c r="E35" i="64" s="1"/>
  <c r="F35" i="64" s="1"/>
  <c r="G35" i="64" s="1"/>
  <c r="H35" i="64" s="1"/>
  <c r="I35" i="64" s="1"/>
  <c r="J35" i="64" s="1"/>
  <c r="K35" i="64" s="1"/>
  <c r="L35" i="64" s="1"/>
  <c r="M35" i="64" s="1"/>
  <c r="N35" i="64" s="1"/>
  <c r="O35" i="64" s="1"/>
  <c r="P35" i="64" s="1"/>
  <c r="Q35" i="64" s="1"/>
  <c r="R35" i="64" s="1"/>
  <c r="S35" i="64" s="1"/>
  <c r="T35" i="64" s="1"/>
  <c r="U35" i="64" s="1"/>
  <c r="C16" i="77"/>
  <c r="B34" i="75"/>
  <c r="B33" i="75"/>
  <c r="B31" i="75"/>
  <c r="C17" i="64"/>
  <c r="D17" i="64" s="1"/>
  <c r="E17" i="64" s="1"/>
  <c r="F17" i="64" s="1"/>
  <c r="G17" i="64" s="1"/>
  <c r="H17" i="64" s="1"/>
  <c r="I17" i="64" s="1"/>
  <c r="J17" i="64" s="1"/>
  <c r="K17" i="64" s="1"/>
  <c r="L17" i="64" s="1"/>
  <c r="M17" i="64" s="1"/>
  <c r="N17" i="64" s="1"/>
  <c r="O17" i="64" s="1"/>
  <c r="P17" i="64" s="1"/>
  <c r="Q17" i="64" s="1"/>
  <c r="R17" i="64" s="1"/>
  <c r="S17" i="64" s="1"/>
  <c r="T17" i="64" s="1"/>
  <c r="U17" i="64" s="1"/>
  <c r="C25" i="64"/>
  <c r="D25" i="64"/>
  <c r="E25" i="64" s="1"/>
  <c r="F25" i="64" s="1"/>
  <c r="G25" i="64" s="1"/>
  <c r="H25" i="64" s="1"/>
  <c r="I25" i="64" s="1"/>
  <c r="J25" i="64" s="1"/>
  <c r="K25" i="64" s="1"/>
  <c r="L25" i="64" s="1"/>
  <c r="M25" i="64" s="1"/>
  <c r="N25" i="64" s="1"/>
  <c r="O25" i="64" s="1"/>
  <c r="P25" i="64" s="1"/>
  <c r="Q25" i="64" s="1"/>
  <c r="R25" i="64" s="1"/>
  <c r="S25" i="64" s="1"/>
  <c r="T25" i="64" s="1"/>
  <c r="U25" i="64" s="1"/>
  <c r="C33" i="64"/>
  <c r="D33" i="64" s="1"/>
  <c r="E33" i="64" s="1"/>
  <c r="F33" i="64" s="1"/>
  <c r="G33" i="64" s="1"/>
  <c r="H33" i="64" s="1"/>
  <c r="I33" i="64" s="1"/>
  <c r="J33" i="64" s="1"/>
  <c r="K33" i="64" s="1"/>
  <c r="L33" i="64" s="1"/>
  <c r="M33" i="64" s="1"/>
  <c r="N33" i="64" s="1"/>
  <c r="O33" i="64" s="1"/>
  <c r="P33" i="64" s="1"/>
  <c r="Q33" i="64" s="1"/>
  <c r="R33" i="64" s="1"/>
  <c r="S33" i="64" s="1"/>
  <c r="T33" i="64" s="1"/>
  <c r="U33" i="64" s="1"/>
  <c r="C5" i="75"/>
  <c r="D17" i="75"/>
  <c r="B32" i="64" s="1"/>
  <c r="C32" i="64" s="1"/>
  <c r="D32" i="64" s="1"/>
  <c r="E32" i="64" s="1"/>
  <c r="F32" i="64" s="1"/>
  <c r="G32" i="64" s="1"/>
  <c r="H32" i="64" s="1"/>
  <c r="I32" i="64" s="1"/>
  <c r="J32" i="64" s="1"/>
  <c r="K32" i="64" s="1"/>
  <c r="L32" i="64" s="1"/>
  <c r="M32" i="64" s="1"/>
  <c r="N32" i="64" s="1"/>
  <c r="O32" i="64" s="1"/>
  <c r="P32" i="64" s="1"/>
  <c r="Q32" i="64" s="1"/>
  <c r="R32" i="64" s="1"/>
  <c r="S32" i="64" s="1"/>
  <c r="T32" i="64" s="1"/>
  <c r="U32" i="64" s="1"/>
  <c r="C28" i="75"/>
  <c r="B22" i="75"/>
  <c r="B21" i="75"/>
  <c r="B20" i="75"/>
  <c r="B18" i="64" s="1"/>
  <c r="D18" i="75"/>
  <c r="D19" i="75" s="1"/>
  <c r="C18" i="75"/>
  <c r="C17" i="75"/>
  <c r="B24" i="64" s="1"/>
  <c r="C24" i="64" s="1"/>
  <c r="D24" i="64" s="1"/>
  <c r="E24" i="64" s="1"/>
  <c r="F24" i="64" s="1"/>
  <c r="G24" i="64" s="1"/>
  <c r="H24" i="64" s="1"/>
  <c r="I24" i="64" s="1"/>
  <c r="J24" i="64" s="1"/>
  <c r="K24" i="64" s="1"/>
  <c r="L24" i="64" s="1"/>
  <c r="M24" i="64" s="1"/>
  <c r="N24" i="64" s="1"/>
  <c r="O24" i="64" s="1"/>
  <c r="P24" i="64" s="1"/>
  <c r="Q24" i="64" s="1"/>
  <c r="R24" i="64" s="1"/>
  <c r="S24" i="64" s="1"/>
  <c r="T24" i="64" s="1"/>
  <c r="U24" i="64" s="1"/>
  <c r="B17" i="75"/>
  <c r="B19" i="75" s="1"/>
  <c r="C27" i="77" s="1"/>
  <c r="B18" i="75"/>
  <c r="H5" i="75"/>
  <c r="S5" i="75"/>
  <c r="R5" i="75"/>
  <c r="O5" i="75"/>
  <c r="D33" i="75" s="1"/>
  <c r="P5" i="75"/>
  <c r="D31" i="75" s="1"/>
  <c r="N5" i="75"/>
  <c r="D32" i="75" s="1"/>
  <c r="Q5" i="75"/>
  <c r="E5" i="75"/>
  <c r="G5" i="75"/>
  <c r="D21" i="75" s="1"/>
  <c r="R4" i="75"/>
  <c r="N4" i="75"/>
  <c r="Q4" i="75"/>
  <c r="C31" i="75" s="1"/>
  <c r="O4" i="75"/>
  <c r="C33" i="75" s="1"/>
  <c r="P4" i="75"/>
  <c r="C20" i="75"/>
  <c r="B26" i="64" s="1"/>
  <c r="E4" i="75"/>
  <c r="G4" i="75"/>
  <c r="C21" i="75"/>
  <c r="C30" i="75"/>
  <c r="H4" i="75"/>
  <c r="H3" i="75"/>
  <c r="S3" i="75"/>
  <c r="B35" i="75"/>
  <c r="N3" i="75"/>
  <c r="B32" i="75" s="1"/>
  <c r="H96" i="69"/>
  <c r="D34" i="75"/>
  <c r="C19" i="75"/>
  <c r="C28" i="77" s="1"/>
  <c r="B28" i="75"/>
  <c r="C32" i="75"/>
  <c r="M16" i="64"/>
  <c r="N16" i="64"/>
  <c r="O16" i="64"/>
  <c r="H16" i="64"/>
  <c r="I16" i="64"/>
  <c r="J16" i="64"/>
  <c r="K16" i="64"/>
  <c r="L16" i="64"/>
  <c r="D16" i="64"/>
  <c r="P16" i="64"/>
  <c r="F16" i="64"/>
  <c r="G16" i="64"/>
  <c r="C16" i="64"/>
  <c r="Q16" i="64"/>
  <c r="R16" i="64"/>
  <c r="S16" i="64"/>
  <c r="T16" i="64"/>
  <c r="U16" i="64"/>
  <c r="B16" i="64"/>
  <c r="F5" i="75"/>
  <c r="D22" i="75" s="1"/>
  <c r="B30" i="75"/>
  <c r="F4" i="75"/>
  <c r="C35" i="75"/>
  <c r="C22" i="75"/>
  <c r="G70" i="68"/>
  <c r="K56" i="69"/>
  <c r="G84" i="68"/>
  <c r="H84" i="68"/>
  <c r="I84" i="68"/>
  <c r="J77" i="68"/>
  <c r="J83" i="68"/>
  <c r="J82" i="68"/>
  <c r="J81" i="68"/>
  <c r="K82" i="68" s="1"/>
  <c r="J80" i="68"/>
  <c r="J79" i="68"/>
  <c r="K83" i="68"/>
  <c r="J78" i="68"/>
  <c r="C71" i="68"/>
  <c r="D71" i="68" s="1"/>
  <c r="C41" i="68" s="1"/>
  <c r="D231" i="68"/>
  <c r="D233" i="68"/>
  <c r="D234" i="68"/>
  <c r="D235" i="68"/>
  <c r="D236" i="68"/>
  <c r="D237" i="68"/>
  <c r="D238" i="68"/>
  <c r="D239" i="68"/>
  <c r="D240" i="68"/>
  <c r="D241" i="68"/>
  <c r="D242" i="68"/>
  <c r="D243" i="68"/>
  <c r="D244" i="68"/>
  <c r="D245" i="68"/>
  <c r="D246" i="68"/>
  <c r="D247" i="68"/>
  <c r="D248" i="68"/>
  <c r="D249" i="68"/>
  <c r="D250" i="68"/>
  <c r="D251" i="68"/>
  <c r="D252" i="68"/>
  <c r="D253" i="68"/>
  <c r="D254" i="68"/>
  <c r="D255" i="68"/>
  <c r="D256" i="68"/>
  <c r="D257" i="68"/>
  <c r="D258" i="68"/>
  <c r="D259" i="68"/>
  <c r="D260" i="68"/>
  <c r="D261" i="68"/>
  <c r="D262" i="68"/>
  <c r="D232" i="68"/>
  <c r="E64" i="68"/>
  <c r="E65" i="68"/>
  <c r="E66" i="68"/>
  <c r="E67" i="68"/>
  <c r="E68" i="68"/>
  <c r="E63" i="68"/>
  <c r="E27" i="68"/>
  <c r="F27" i="68"/>
  <c r="G27" i="68"/>
  <c r="H27" i="68"/>
  <c r="I27" i="68"/>
  <c r="J27" i="68"/>
  <c r="K27" i="68"/>
  <c r="L27" i="68"/>
  <c r="M27" i="68"/>
  <c r="N27" i="68"/>
  <c r="O27" i="68"/>
  <c r="P27" i="68"/>
  <c r="Q27" i="68"/>
  <c r="R27" i="68"/>
  <c r="S27" i="68"/>
  <c r="T27" i="68"/>
  <c r="U27" i="68"/>
  <c r="V27" i="68"/>
  <c r="W27" i="68"/>
  <c r="E28" i="68"/>
  <c r="F28" i="68"/>
  <c r="G28" i="68"/>
  <c r="H28" i="68"/>
  <c r="I28" i="68"/>
  <c r="J28" i="68"/>
  <c r="K28" i="68"/>
  <c r="L28" i="68"/>
  <c r="M28" i="68"/>
  <c r="N28" i="68"/>
  <c r="O28" i="68"/>
  <c r="P28" i="68"/>
  <c r="Q28" i="68"/>
  <c r="R28" i="68"/>
  <c r="S28" i="68"/>
  <c r="T28" i="68"/>
  <c r="U28" i="68"/>
  <c r="V28" i="68"/>
  <c r="W28" i="68"/>
  <c r="E29" i="68"/>
  <c r="F29" i="68"/>
  <c r="G29" i="68"/>
  <c r="H29" i="68"/>
  <c r="I29" i="68"/>
  <c r="J29" i="68"/>
  <c r="K29" i="68"/>
  <c r="L29" i="68"/>
  <c r="M29" i="68"/>
  <c r="N29" i="68"/>
  <c r="O29" i="68"/>
  <c r="P29" i="68"/>
  <c r="Q29" i="68"/>
  <c r="R29" i="68"/>
  <c r="S29" i="68"/>
  <c r="T29" i="68"/>
  <c r="U29" i="68"/>
  <c r="V29" i="68"/>
  <c r="W29" i="68"/>
  <c r="D29" i="68"/>
  <c r="D28" i="68"/>
  <c r="D27" i="68"/>
  <c r="F12" i="68"/>
  <c r="D9" i="68"/>
  <c r="C8" i="68"/>
  <c r="C9" i="68"/>
  <c r="C10" i="68"/>
  <c r="C11" i="68"/>
  <c r="C7" i="68"/>
  <c r="B10" i="68"/>
  <c r="B9" i="68"/>
  <c r="B8" i="68"/>
  <c r="E109" i="69"/>
  <c r="E110" i="69"/>
  <c r="E115" i="69"/>
  <c r="E113" i="69"/>
  <c r="E114" i="69"/>
  <c r="E112" i="69"/>
  <c r="E111" i="69"/>
  <c r="C116" i="69"/>
  <c r="D116" i="69"/>
  <c r="B116" i="69"/>
  <c r="I87" i="69"/>
  <c r="J87" i="69" s="1"/>
  <c r="I74" i="69"/>
  <c r="J74" i="69" s="1"/>
  <c r="I59" i="69"/>
  <c r="J59" i="69" s="1"/>
  <c r="I63" i="69"/>
  <c r="J63" i="69" s="1"/>
  <c r="J61" i="69"/>
  <c r="J62" i="69"/>
  <c r="J64" i="69"/>
  <c r="J65" i="69"/>
  <c r="J66" i="69"/>
  <c r="J67" i="69"/>
  <c r="J68" i="69"/>
  <c r="I2" i="69" s="1"/>
  <c r="J2" i="69" s="1"/>
  <c r="J69" i="69"/>
  <c r="J70" i="69"/>
  <c r="J71" i="69"/>
  <c r="J72" i="69"/>
  <c r="J73" i="69"/>
  <c r="J75" i="69"/>
  <c r="J76" i="69"/>
  <c r="J77" i="69"/>
  <c r="J78" i="69"/>
  <c r="J79" i="69"/>
  <c r="J80" i="69"/>
  <c r="J81" i="69"/>
  <c r="J82" i="69"/>
  <c r="J83" i="69"/>
  <c r="J84" i="69"/>
  <c r="J85" i="69"/>
  <c r="J86" i="69"/>
  <c r="J88" i="69"/>
  <c r="J89" i="69"/>
  <c r="J90" i="69"/>
  <c r="J91" i="69"/>
  <c r="J92" i="69"/>
  <c r="J93" i="69"/>
  <c r="J60" i="69"/>
  <c r="K80" i="68"/>
  <c r="K81" i="68"/>
  <c r="B6" i="64"/>
  <c r="F113" i="69"/>
  <c r="D7" i="68"/>
  <c r="C35" i="68" s="1"/>
  <c r="D11" i="68"/>
  <c r="D10" i="68"/>
  <c r="I94" i="69"/>
  <c r="J94" i="69" s="1"/>
  <c r="K2" i="69" s="1"/>
  <c r="F112" i="69"/>
  <c r="J84" i="68"/>
  <c r="D8" i="68"/>
  <c r="F114" i="69"/>
  <c r="C5" i="69"/>
  <c r="M30" i="46"/>
  <c r="M29" i="46"/>
  <c r="M28" i="46"/>
  <c r="M27" i="46"/>
  <c r="B9" i="64"/>
  <c r="C6" i="64"/>
  <c r="C5" i="64"/>
  <c r="B5" i="64"/>
  <c r="C26" i="77"/>
  <c r="C31" i="77" s="1"/>
  <c r="D7" i="37" s="1"/>
  <c r="F7" i="37" s="1"/>
  <c r="B4" i="64"/>
  <c r="C33" i="77"/>
  <c r="L2" i="69"/>
  <c r="C23" i="69" s="1"/>
  <c r="C29" i="69"/>
  <c r="C37" i="69" s="1"/>
  <c r="C8" i="64"/>
  <c r="D8" i="64"/>
  <c r="E8" i="64" s="1"/>
  <c r="F8" i="64" s="1"/>
  <c r="G8" i="64" s="1"/>
  <c r="H8" i="64" s="1"/>
  <c r="I8" i="64" s="1"/>
  <c r="J8" i="64" s="1"/>
  <c r="K8" i="64" s="1"/>
  <c r="L8" i="64" s="1"/>
  <c r="M8" i="64" s="1"/>
  <c r="N8" i="64" s="1"/>
  <c r="O8" i="64"/>
  <c r="P8" i="64" s="1"/>
  <c r="Q8" i="64" s="1"/>
  <c r="R8" i="64" s="1"/>
  <c r="S8" i="64" s="1"/>
  <c r="T8" i="64" s="1"/>
  <c r="U8" i="64" s="1"/>
  <c r="C9" i="64"/>
  <c r="D6" i="64"/>
  <c r="E6" i="64" s="1"/>
  <c r="C30" i="69"/>
  <c r="C38" i="69" s="1"/>
  <c r="E7" i="64"/>
  <c r="D5" i="64"/>
  <c r="F76" i="67"/>
  <c r="C76" i="67"/>
  <c r="D76" i="67"/>
  <c r="E76" i="67"/>
  <c r="B76" i="67"/>
  <c r="C37" i="67"/>
  <c r="D9" i="64"/>
  <c r="D4" i="72" s="1"/>
  <c r="F7" i="64"/>
  <c r="E5" i="64"/>
  <c r="B5" i="72"/>
  <c r="B4" i="72"/>
  <c r="D12" i="42"/>
  <c r="D11" i="42" s="1"/>
  <c r="D5" i="43" s="1"/>
  <c r="D5" i="42"/>
  <c r="B9" i="72"/>
  <c r="G7" i="64"/>
  <c r="F5" i="64"/>
  <c r="C5" i="72"/>
  <c r="C4" i="72"/>
  <c r="E12" i="42"/>
  <c r="E11" i="42" s="1"/>
  <c r="E5" i="43" s="1"/>
  <c r="D6" i="45" s="1"/>
  <c r="E15" i="71" s="1"/>
  <c r="E5" i="42"/>
  <c r="D4" i="42"/>
  <c r="F8" i="46"/>
  <c r="G8" i="46"/>
  <c r="H8" i="46"/>
  <c r="I8" i="46"/>
  <c r="J8" i="46"/>
  <c r="K8" i="46"/>
  <c r="L8" i="46"/>
  <c r="M8" i="46"/>
  <c r="N8" i="46"/>
  <c r="O8" i="46"/>
  <c r="P8" i="46"/>
  <c r="Q8" i="46"/>
  <c r="R8" i="46"/>
  <c r="S8" i="46"/>
  <c r="T8" i="46"/>
  <c r="U8" i="46"/>
  <c r="V8" i="46"/>
  <c r="E6" i="46"/>
  <c r="F6" i="46"/>
  <c r="G6" i="46"/>
  <c r="H6" i="46"/>
  <c r="I6" i="46"/>
  <c r="J6" i="46"/>
  <c r="C6" i="46" s="1"/>
  <c r="K6" i="46"/>
  <c r="L6" i="46"/>
  <c r="M6" i="46"/>
  <c r="N6" i="46"/>
  <c r="O6" i="46"/>
  <c r="P6" i="46"/>
  <c r="Q6" i="46"/>
  <c r="R6" i="46"/>
  <c r="S6" i="46"/>
  <c r="T6" i="46"/>
  <c r="U6" i="46"/>
  <c r="V6" i="46"/>
  <c r="W6" i="46"/>
  <c r="D6" i="46"/>
  <c r="E14" i="46"/>
  <c r="H7" i="64"/>
  <c r="G5" i="64"/>
  <c r="E4" i="42"/>
  <c r="C9" i="72"/>
  <c r="I7" i="64"/>
  <c r="J7" i="64" s="1"/>
  <c r="H5" i="64"/>
  <c r="C4" i="45"/>
  <c r="D4" i="45"/>
  <c r="E4" i="43"/>
  <c r="D5" i="71"/>
  <c r="D5" i="46"/>
  <c r="E5" i="71"/>
  <c r="E5" i="46"/>
  <c r="C12" i="42"/>
  <c r="C11" i="42"/>
  <c r="C5" i="71"/>
  <c r="C5" i="46"/>
  <c r="C5" i="43"/>
  <c r="C5" i="42"/>
  <c r="C4" i="42" s="1"/>
  <c r="E10" i="71"/>
  <c r="F7" i="66"/>
  <c r="G7" i="66" s="1"/>
  <c r="H7" i="66" s="1"/>
  <c r="I7" i="66" s="1"/>
  <c r="J7" i="66"/>
  <c r="K7" i="66"/>
  <c r="L7" i="66" s="1"/>
  <c r="M7" i="66" s="1"/>
  <c r="N7" i="66" s="1"/>
  <c r="O7" i="66" s="1"/>
  <c r="P7" i="66" s="1"/>
  <c r="Q7" i="66" s="1"/>
  <c r="R7" i="66" s="1"/>
  <c r="S7" i="66" s="1"/>
  <c r="T7" i="66" s="1"/>
  <c r="U7" i="66" s="1"/>
  <c r="V7" i="66" s="1"/>
  <c r="W7" i="66" s="1"/>
  <c r="W8" i="66" s="1"/>
  <c r="D10" i="71"/>
  <c r="C10" i="71" s="1"/>
  <c r="D8" i="46"/>
  <c r="D9" i="46"/>
  <c r="C9" i="46" s="1"/>
  <c r="E8" i="46"/>
  <c r="E9" i="46"/>
  <c r="C7" i="85" l="1"/>
  <c r="C8" i="85"/>
  <c r="C9" i="85"/>
  <c r="C3" i="83"/>
  <c r="C3" i="86"/>
  <c r="C10" i="83"/>
  <c r="C11" i="86"/>
  <c r="C2" i="83"/>
  <c r="C10" i="86"/>
  <c r="C2" i="86"/>
  <c r="E116" i="69"/>
  <c r="F115" i="69"/>
  <c r="K7" i="64"/>
  <c r="J5" i="64"/>
  <c r="M9" i="73"/>
  <c r="C6" i="45"/>
  <c r="D15" i="71" s="1"/>
  <c r="C15" i="71" s="1"/>
  <c r="D14" i="46"/>
  <c r="C14" i="46" s="1"/>
  <c r="F12" i="42"/>
  <c r="F11" i="42" s="1"/>
  <c r="F5" i="43" s="1"/>
  <c r="D9" i="72"/>
  <c r="C45" i="68"/>
  <c r="D35" i="68"/>
  <c r="C38" i="68"/>
  <c r="C37" i="68"/>
  <c r="D11" i="37"/>
  <c r="F11" i="37" s="1"/>
  <c r="F10" i="37" s="1"/>
  <c r="F9" i="37"/>
  <c r="F5" i="42"/>
  <c r="F4" i="42" s="1"/>
  <c r="B29" i="64"/>
  <c r="C26" i="64"/>
  <c r="B45" i="64"/>
  <c r="C42" i="64"/>
  <c r="I5" i="64"/>
  <c r="C27" i="69"/>
  <c r="C28" i="69"/>
  <c r="C36" i="69" s="1"/>
  <c r="D23" i="69"/>
  <c r="M8" i="73"/>
  <c r="D5" i="72"/>
  <c r="A29" i="82"/>
  <c r="C18" i="64"/>
  <c r="B21" i="64"/>
  <c r="J36" i="80"/>
  <c r="C36" i="68"/>
  <c r="D30" i="75"/>
  <c r="F22" i="37"/>
  <c r="A41" i="80"/>
  <c r="C12" i="85"/>
  <c r="C13" i="85"/>
  <c r="C11" i="85"/>
  <c r="C18" i="85"/>
  <c r="E9" i="64"/>
  <c r="F6" i="64"/>
  <c r="C40" i="77"/>
  <c r="F15" i="37" s="1"/>
  <c r="C15" i="78" s="1"/>
  <c r="J31" i="73"/>
  <c r="J28" i="73"/>
  <c r="D4" i="43"/>
  <c r="C4" i="43" s="1"/>
  <c r="C40" i="68"/>
  <c r="C39" i="68"/>
  <c r="C37" i="77"/>
  <c r="E43" i="64" s="1"/>
  <c r="E19" i="75"/>
  <c r="C30" i="77" s="1"/>
  <c r="B40" i="64"/>
  <c r="C40" i="64" s="1"/>
  <c r="D40" i="64" s="1"/>
  <c r="E40" i="64" s="1"/>
  <c r="F40" i="64" s="1"/>
  <c r="G40" i="64" s="1"/>
  <c r="H40" i="64" s="1"/>
  <c r="I40" i="64" s="1"/>
  <c r="J40" i="64" s="1"/>
  <c r="K40" i="64" s="1"/>
  <c r="L40" i="64" s="1"/>
  <c r="M40" i="64" s="1"/>
  <c r="N40" i="64" s="1"/>
  <c r="O40" i="64" s="1"/>
  <c r="P40" i="64" s="1"/>
  <c r="Q40" i="64" s="1"/>
  <c r="R40" i="64" s="1"/>
  <c r="S40" i="64" s="1"/>
  <c r="T40" i="64" s="1"/>
  <c r="U40" i="64" s="1"/>
  <c r="I34" i="73"/>
  <c r="I23" i="73" s="1"/>
  <c r="C11" i="83"/>
  <c r="K11" i="79"/>
  <c r="I5" i="73"/>
  <c r="AD9" i="73"/>
  <c r="G8" i="82"/>
  <c r="C40" i="80"/>
  <c r="C53" i="80" s="1"/>
  <c r="C12" i="83"/>
  <c r="D35" i="75"/>
  <c r="D20" i="75"/>
  <c r="B34" i="64" s="1"/>
  <c r="I4" i="73"/>
  <c r="J9" i="73"/>
  <c r="T8" i="82"/>
  <c r="B53" i="80"/>
  <c r="B54" i="80" s="1"/>
  <c r="C10" i="87"/>
  <c r="C34" i="75"/>
  <c r="C34" i="77"/>
  <c r="C43" i="77" s="1"/>
  <c r="F38" i="37" s="1"/>
  <c r="AG9" i="73"/>
  <c r="L11" i="80"/>
  <c r="C11" i="87"/>
  <c r="C35" i="77"/>
  <c r="E27" i="64" s="1"/>
  <c r="F27" i="64" s="1"/>
  <c r="G27" i="64" s="1"/>
  <c r="H27" i="64" s="1"/>
  <c r="I27" i="64" s="1"/>
  <c r="J27" i="64" s="1"/>
  <c r="K27" i="64" s="1"/>
  <c r="L27" i="64" s="1"/>
  <c r="M27" i="64" s="1"/>
  <c r="N27" i="64" s="1"/>
  <c r="O27" i="64" s="1"/>
  <c r="P27" i="64" s="1"/>
  <c r="Q27" i="64" s="1"/>
  <c r="R27" i="64" s="1"/>
  <c r="S27" i="64" s="1"/>
  <c r="T27" i="64" s="1"/>
  <c r="U27" i="64" s="1"/>
  <c r="J8" i="80"/>
  <c r="J10" i="80" s="1"/>
  <c r="J11" i="80" s="1"/>
  <c r="C12" i="87"/>
  <c r="D6" i="37"/>
  <c r="F6" i="37" s="1"/>
  <c r="C13" i="87"/>
  <c r="K7" i="73"/>
  <c r="J34" i="80"/>
  <c r="I35" i="80"/>
  <c r="J35" i="80" s="1"/>
  <c r="C12" i="86"/>
  <c r="I9" i="81"/>
  <c r="F5" i="37"/>
  <c r="F4" i="37" s="1"/>
  <c r="C10" i="88"/>
  <c r="H40" i="80"/>
  <c r="C11" i="88"/>
  <c r="C12" i="88"/>
  <c r="C29" i="77"/>
  <c r="E9" i="81"/>
  <c r="C9" i="83" l="1"/>
  <c r="C22" i="83" s="1"/>
  <c r="C24" i="83" s="1"/>
  <c r="C9" i="86"/>
  <c r="C22" i="86" s="1"/>
  <c r="C23" i="86" s="1"/>
  <c r="W8" i="46"/>
  <c r="C8" i="46" s="1"/>
  <c r="E13" i="71"/>
  <c r="G6" i="64"/>
  <c r="F9" i="64"/>
  <c r="I40" i="80"/>
  <c r="J40" i="80" s="1"/>
  <c r="C16" i="78"/>
  <c r="F16" i="78" s="1"/>
  <c r="G16" i="78" s="1"/>
  <c r="H16" i="78" s="1"/>
  <c r="I16" i="78" s="1"/>
  <c r="J16" i="78" s="1"/>
  <c r="C45" i="64"/>
  <c r="D42" i="64"/>
  <c r="B118" i="72"/>
  <c r="B119" i="72"/>
  <c r="D10" i="42"/>
  <c r="D39" i="68"/>
  <c r="C49" i="68"/>
  <c r="F23" i="37"/>
  <c r="F24" i="37"/>
  <c r="F35" i="37"/>
  <c r="C29" i="64"/>
  <c r="D26" i="64"/>
  <c r="C54" i="68"/>
  <c r="B100" i="72"/>
  <c r="D8" i="42"/>
  <c r="B101" i="72"/>
  <c r="C9" i="88"/>
  <c r="C22" i="88" s="1"/>
  <c r="B37" i="64"/>
  <c r="C34" i="64"/>
  <c r="E4" i="45"/>
  <c r="F5" i="71"/>
  <c r="F10" i="71" s="1"/>
  <c r="F5" i="46"/>
  <c r="F9" i="46" s="1"/>
  <c r="K5" i="64"/>
  <c r="L7" i="64"/>
  <c r="G5" i="42"/>
  <c r="G4" i="42" s="1"/>
  <c r="E5" i="72"/>
  <c r="E4" i="72"/>
  <c r="C9" i="87"/>
  <c r="C22" i="87" s="1"/>
  <c r="C46" i="68"/>
  <c r="C50" i="68" s="1"/>
  <c r="C55" i="68" s="1"/>
  <c r="D36" i="68"/>
  <c r="F8" i="37"/>
  <c r="F3" i="37" s="1"/>
  <c r="C10" i="66"/>
  <c r="D27" i="69"/>
  <c r="D29" i="69"/>
  <c r="D37" i="69" s="1"/>
  <c r="E23" i="69"/>
  <c r="D28" i="69"/>
  <c r="D36" i="69" s="1"/>
  <c r="D30" i="69"/>
  <c r="D38" i="69" s="1"/>
  <c r="I37" i="73"/>
  <c r="I26" i="73" s="1"/>
  <c r="J23" i="73"/>
  <c r="D7" i="42"/>
  <c r="B16" i="72"/>
  <c r="D6" i="43" s="1"/>
  <c r="B15" i="72"/>
  <c r="C47" i="68"/>
  <c r="D37" i="68"/>
  <c r="E6" i="45"/>
  <c r="F15" i="71" s="1"/>
  <c r="F4" i="43"/>
  <c r="F14" i="46"/>
  <c r="C35" i="69"/>
  <c r="C39" i="69" s="1"/>
  <c r="C31" i="69"/>
  <c r="D18" i="64"/>
  <c r="C21" i="64"/>
  <c r="C48" i="68"/>
  <c r="D38" i="68"/>
  <c r="I9" i="73"/>
  <c r="K9" i="73"/>
  <c r="AH12" i="73"/>
  <c r="C39" i="77"/>
  <c r="F14" i="37" s="1"/>
  <c r="E19" i="64"/>
  <c r="E16" i="64" s="1"/>
  <c r="C42" i="77"/>
  <c r="F17" i="37" s="1"/>
  <c r="C41" i="77"/>
  <c r="F16" i="37" s="1"/>
  <c r="C20" i="78" s="1"/>
  <c r="E35" i="68"/>
  <c r="D45" i="68"/>
  <c r="C24" i="86" l="1"/>
  <c r="C25" i="86" s="1"/>
  <c r="C33" i="86" s="1"/>
  <c r="C23" i="83"/>
  <c r="C25" i="83" s="1"/>
  <c r="C33" i="83" s="1"/>
  <c r="C14" i="85" s="1"/>
  <c r="F19" i="37"/>
  <c r="C5" i="78"/>
  <c r="C32" i="37"/>
  <c r="F34" i="37"/>
  <c r="F30" i="37"/>
  <c r="F29" i="37"/>
  <c r="F20" i="37"/>
  <c r="F27" i="37"/>
  <c r="D12" i="71"/>
  <c r="F36" i="37"/>
  <c r="C26" i="37"/>
  <c r="C27" i="37"/>
  <c r="C28" i="37"/>
  <c r="C31" i="37"/>
  <c r="C19" i="37"/>
  <c r="C56" i="68"/>
  <c r="C57" i="68"/>
  <c r="E10" i="42"/>
  <c r="C118" i="72"/>
  <c r="C119" i="72"/>
  <c r="F17" i="78"/>
  <c r="G17" i="78" s="1"/>
  <c r="H17" i="78" s="1"/>
  <c r="I17" i="78" s="1"/>
  <c r="J17" i="78" s="1"/>
  <c r="C23" i="87"/>
  <c r="C24" i="87"/>
  <c r="D45" i="64"/>
  <c r="E42" i="64"/>
  <c r="E9" i="72"/>
  <c r="G12" i="42"/>
  <c r="G11" i="42" s="1"/>
  <c r="G5" i="43" s="1"/>
  <c r="E26" i="64"/>
  <c r="D29" i="64"/>
  <c r="E8" i="42"/>
  <c r="C101" i="72"/>
  <c r="C100" i="72"/>
  <c r="C15" i="66"/>
  <c r="G5" i="71"/>
  <c r="G10" i="71" s="1"/>
  <c r="F4" i="45"/>
  <c r="G5" i="46"/>
  <c r="G9" i="46" s="1"/>
  <c r="C10" i="78"/>
  <c r="F13" i="37"/>
  <c r="F12" i="37" s="1"/>
  <c r="J26" i="73"/>
  <c r="J24" i="73"/>
  <c r="J25" i="73"/>
  <c r="M7" i="64"/>
  <c r="L5" i="64"/>
  <c r="D14" i="71"/>
  <c r="C7" i="45"/>
  <c r="C8" i="45" s="1"/>
  <c r="C6" i="43"/>
  <c r="L23" i="73"/>
  <c r="K23" i="73"/>
  <c r="D48" i="68"/>
  <c r="E38" i="68"/>
  <c r="F5" i="72"/>
  <c r="F4" i="72"/>
  <c r="H5" i="42"/>
  <c r="H4" i="42" s="1"/>
  <c r="E37" i="68"/>
  <c r="D47" i="68"/>
  <c r="C15" i="72"/>
  <c r="E7" i="42"/>
  <c r="C16" i="72"/>
  <c r="E6" i="43" s="1"/>
  <c r="G9" i="64"/>
  <c r="H6" i="64"/>
  <c r="C11" i="66"/>
  <c r="F11" i="66" s="1"/>
  <c r="G11" i="66" s="1"/>
  <c r="H11" i="66" s="1"/>
  <c r="I11" i="66" s="1"/>
  <c r="J11" i="66" s="1"/>
  <c r="K11" i="66" s="1"/>
  <c r="L11" i="66" s="1"/>
  <c r="M11" i="66" s="1"/>
  <c r="N11" i="66" s="1"/>
  <c r="O11" i="66" s="1"/>
  <c r="E18" i="64"/>
  <c r="D21" i="64"/>
  <c r="D49" i="68"/>
  <c r="E39" i="68"/>
  <c r="E12" i="46"/>
  <c r="W8" i="71"/>
  <c r="C8" i="71" s="1"/>
  <c r="C21" i="78"/>
  <c r="F21" i="78" s="1"/>
  <c r="G21" i="78" s="1"/>
  <c r="H21" i="78" s="1"/>
  <c r="I21" i="78" s="1"/>
  <c r="J21" i="78" s="1"/>
  <c r="B105" i="72"/>
  <c r="D15" i="42"/>
  <c r="C43" i="69"/>
  <c r="C44" i="69" s="1"/>
  <c r="C46" i="69" s="1"/>
  <c r="C45" i="69"/>
  <c r="D35" i="69"/>
  <c r="D39" i="69" s="1"/>
  <c r="D31" i="69"/>
  <c r="D34" i="64"/>
  <c r="C37" i="64"/>
  <c r="D14" i="42"/>
  <c r="B20" i="72"/>
  <c r="D6" i="42"/>
  <c r="E27" i="69"/>
  <c r="E28" i="69"/>
  <c r="E36" i="69" s="1"/>
  <c r="E30" i="69"/>
  <c r="E38" i="69" s="1"/>
  <c r="E29" i="69"/>
  <c r="E37" i="69" s="1"/>
  <c r="F23" i="69"/>
  <c r="F35" i="68"/>
  <c r="E45" i="68"/>
  <c r="D9" i="42"/>
  <c r="B109" i="72"/>
  <c r="B110" i="72"/>
  <c r="E36" i="68"/>
  <c r="D46" i="68"/>
  <c r="D50" i="68" s="1"/>
  <c r="D40" i="68"/>
  <c r="C23" i="88"/>
  <c r="C24" i="88"/>
  <c r="D17" i="42"/>
  <c r="B123" i="72"/>
  <c r="C34" i="86" l="1"/>
  <c r="C16" i="85"/>
  <c r="C34" i="83"/>
  <c r="C25" i="88"/>
  <c r="C33" i="88" s="1"/>
  <c r="C34" i="88" s="1"/>
  <c r="C25" i="87"/>
  <c r="C33" i="87" s="1"/>
  <c r="C15" i="85" s="1"/>
  <c r="L25" i="73"/>
  <c r="K25" i="73"/>
  <c r="F10" i="42"/>
  <c r="D119" i="72"/>
  <c r="D118" i="72"/>
  <c r="F36" i="68"/>
  <c r="E46" i="68"/>
  <c r="C11" i="78"/>
  <c r="F11" i="78" s="1"/>
  <c r="G11" i="78" s="1"/>
  <c r="H11" i="78" s="1"/>
  <c r="I11" i="78" s="1"/>
  <c r="J11" i="78" s="1"/>
  <c r="F12" i="78"/>
  <c r="G12" i="78" s="1"/>
  <c r="H12" i="78" s="1"/>
  <c r="I12" i="78" s="1"/>
  <c r="J12" i="78" s="1"/>
  <c r="D55" i="68"/>
  <c r="D54" i="68"/>
  <c r="H5" i="46"/>
  <c r="H9" i="46" s="1"/>
  <c r="G4" i="45"/>
  <c r="H5" i="71"/>
  <c r="H10" i="71" s="1"/>
  <c r="F9" i="72"/>
  <c r="H12" i="42"/>
  <c r="H11" i="42" s="1"/>
  <c r="H5" i="43" s="1"/>
  <c r="B114" i="72"/>
  <c r="D16" i="42"/>
  <c r="D43" i="69"/>
  <c r="D45" i="69"/>
  <c r="D44" i="69"/>
  <c r="D46" i="69" s="1"/>
  <c r="F18" i="64"/>
  <c r="E21" i="64"/>
  <c r="F16" i="66"/>
  <c r="F17" i="66"/>
  <c r="E17" i="42"/>
  <c r="C123" i="72"/>
  <c r="E40" i="68"/>
  <c r="F12" i="66"/>
  <c r="G12" i="66" s="1"/>
  <c r="H12" i="66" s="1"/>
  <c r="I12" i="66" s="1"/>
  <c r="J12" i="66" s="1"/>
  <c r="K12" i="66" s="1"/>
  <c r="L12" i="66" s="1"/>
  <c r="M12" i="66" s="1"/>
  <c r="N12" i="66" s="1"/>
  <c r="O12" i="66" s="1"/>
  <c r="D11" i="46"/>
  <c r="D19" i="71"/>
  <c r="C12" i="71"/>
  <c r="E35" i="69"/>
  <c r="E39" i="69" s="1"/>
  <c r="E31" i="69"/>
  <c r="F37" i="68"/>
  <c r="E47" i="68"/>
  <c r="C105" i="72"/>
  <c r="E15" i="42"/>
  <c r="E34" i="64"/>
  <c r="D37" i="64"/>
  <c r="F27" i="69"/>
  <c r="F30" i="69"/>
  <c r="F38" i="69" s="1"/>
  <c r="G23" i="69"/>
  <c r="F28" i="69"/>
  <c r="F36" i="69" s="1"/>
  <c r="F29" i="69"/>
  <c r="F37" i="69" s="1"/>
  <c r="I6" i="64"/>
  <c r="H9" i="64"/>
  <c r="E14" i="42"/>
  <c r="C20" i="72"/>
  <c r="E49" i="68"/>
  <c r="F39" i="68"/>
  <c r="D15" i="72"/>
  <c r="F7" i="42"/>
  <c r="D16" i="72"/>
  <c r="F6" i="43" s="1"/>
  <c r="G5" i="72"/>
  <c r="G4" i="72"/>
  <c r="I5" i="42"/>
  <c r="I4" i="42" s="1"/>
  <c r="C9" i="45"/>
  <c r="C10" i="45" s="1"/>
  <c r="C11" i="45"/>
  <c r="C25" i="78"/>
  <c r="C6" i="78"/>
  <c r="F38" i="68"/>
  <c r="E48" i="68"/>
  <c r="E50" i="68" s="1"/>
  <c r="F40" i="68"/>
  <c r="G35" i="68"/>
  <c r="F45" i="68"/>
  <c r="D13" i="46"/>
  <c r="C13" i="46" s="1"/>
  <c r="C14" i="71"/>
  <c r="D101" i="72"/>
  <c r="D100" i="72"/>
  <c r="F8" i="42"/>
  <c r="E6" i="42"/>
  <c r="E9" i="42"/>
  <c r="C110" i="72"/>
  <c r="C109" i="72"/>
  <c r="D7" i="45"/>
  <c r="D8" i="45" s="1"/>
  <c r="E14" i="71"/>
  <c r="E13" i="46" s="1"/>
  <c r="E29" i="64"/>
  <c r="F26" i="64"/>
  <c r="F6" i="45"/>
  <c r="G15" i="71" s="1"/>
  <c r="G14" i="46"/>
  <c r="G4" i="43"/>
  <c r="N7" i="64"/>
  <c r="M5" i="64"/>
  <c r="F22" i="78"/>
  <c r="G22" i="78" s="1"/>
  <c r="H22" i="78" s="1"/>
  <c r="I22" i="78" s="1"/>
  <c r="J22" i="78" s="1"/>
  <c r="L24" i="73"/>
  <c r="K24" i="73"/>
  <c r="E45" i="64"/>
  <c r="F42" i="64"/>
  <c r="F18" i="37"/>
  <c r="F37" i="37" s="1"/>
  <c r="C34" i="87" l="1"/>
  <c r="F29" i="64"/>
  <c r="G26" i="64"/>
  <c r="H35" i="68"/>
  <c r="G45" i="68"/>
  <c r="F49" i="68"/>
  <c r="G39" i="68"/>
  <c r="F21" i="64"/>
  <c r="G18" i="64"/>
  <c r="F54" i="68"/>
  <c r="D9" i="45"/>
  <c r="D10" i="45" s="1"/>
  <c r="D11" i="45"/>
  <c r="I9" i="64"/>
  <c r="J6" i="64"/>
  <c r="G36" i="68"/>
  <c r="G40" i="68" s="1"/>
  <c r="F46" i="68"/>
  <c r="C19" i="71"/>
  <c r="D20" i="71"/>
  <c r="H14" i="46"/>
  <c r="H4" i="43"/>
  <c r="G6" i="45"/>
  <c r="H15" i="71" s="1"/>
  <c r="F17" i="42"/>
  <c r="D123" i="72"/>
  <c r="C11" i="46"/>
  <c r="D19" i="46"/>
  <c r="G37" i="68"/>
  <c r="F47" i="68"/>
  <c r="F50" i="68" s="1"/>
  <c r="F55" i="68" s="1"/>
  <c r="E16" i="42"/>
  <c r="E13" i="42" s="1"/>
  <c r="C114" i="72"/>
  <c r="D105" i="72"/>
  <c r="F15" i="42"/>
  <c r="G9" i="72"/>
  <c r="I12" i="42"/>
  <c r="I11" i="42" s="1"/>
  <c r="I5" i="43" s="1"/>
  <c r="F31" i="69"/>
  <c r="F35" i="69"/>
  <c r="F39" i="69" s="1"/>
  <c r="E55" i="68"/>
  <c r="E54" i="68"/>
  <c r="E43" i="69"/>
  <c r="E44" i="69" s="1"/>
  <c r="E45" i="69"/>
  <c r="G10" i="42"/>
  <c r="E119" i="72"/>
  <c r="E118" i="72"/>
  <c r="G29" i="69"/>
  <c r="G37" i="69" s="1"/>
  <c r="H23" i="69"/>
  <c r="G30" i="69"/>
  <c r="G38" i="69" s="1"/>
  <c r="G27" i="69"/>
  <c r="G28" i="69"/>
  <c r="G36" i="69" s="1"/>
  <c r="H4" i="45"/>
  <c r="I5" i="46"/>
  <c r="I9" i="46" s="1"/>
  <c r="I5" i="71"/>
  <c r="I10" i="71" s="1"/>
  <c r="D110" i="72"/>
  <c r="F9" i="42"/>
  <c r="D109" i="72"/>
  <c r="G38" i="68"/>
  <c r="F48" i="68"/>
  <c r="D17" i="71"/>
  <c r="C17" i="71" s="1"/>
  <c r="D17" i="46"/>
  <c r="C17" i="46" s="1"/>
  <c r="F14" i="71"/>
  <c r="E7" i="45"/>
  <c r="E8" i="45" s="1"/>
  <c r="F34" i="64"/>
  <c r="E37" i="64"/>
  <c r="H5" i="72"/>
  <c r="J5" i="42"/>
  <c r="J4" i="42" s="1"/>
  <c r="H4" i="72"/>
  <c r="G17" i="66"/>
  <c r="H17" i="66" s="1"/>
  <c r="I17" i="66" s="1"/>
  <c r="J17" i="66" s="1"/>
  <c r="K17" i="66" s="1"/>
  <c r="L17" i="66" s="1"/>
  <c r="M17" i="66" s="1"/>
  <c r="N17" i="66" s="1"/>
  <c r="O17" i="66" s="1"/>
  <c r="D13" i="42"/>
  <c r="F40" i="37"/>
  <c r="E12" i="71" s="1"/>
  <c r="E101" i="72"/>
  <c r="G8" i="42"/>
  <c r="E100" i="72"/>
  <c r="F45" i="64"/>
  <c r="G42" i="64"/>
  <c r="F14" i="42"/>
  <c r="D20" i="72"/>
  <c r="G16" i="66"/>
  <c r="H16" i="66" s="1"/>
  <c r="I16" i="66" s="1"/>
  <c r="J16" i="66" s="1"/>
  <c r="K16" i="66" s="1"/>
  <c r="L16" i="66" s="1"/>
  <c r="M16" i="66" s="1"/>
  <c r="N16" i="66" s="1"/>
  <c r="O16" i="66" s="1"/>
  <c r="C16" i="66"/>
  <c r="C26" i="78"/>
  <c r="F6" i="78"/>
  <c r="C12" i="45"/>
  <c r="C13" i="45" s="1"/>
  <c r="C14" i="45" s="1"/>
  <c r="N5" i="64"/>
  <c r="O7" i="64"/>
  <c r="F6" i="42"/>
  <c r="E15" i="72"/>
  <c r="G7" i="42"/>
  <c r="E16" i="72"/>
  <c r="G6" i="43" s="1"/>
  <c r="D56" i="68"/>
  <c r="D57" i="68" s="1"/>
  <c r="G54" i="68" l="1"/>
  <c r="F56" i="68"/>
  <c r="F57" i="68"/>
  <c r="E56" i="68"/>
  <c r="E57" i="68" s="1"/>
  <c r="G47" i="68"/>
  <c r="H37" i="68"/>
  <c r="E17" i="46"/>
  <c r="E17" i="71"/>
  <c r="H6" i="45"/>
  <c r="I15" i="71" s="1"/>
  <c r="I4" i="43"/>
  <c r="I14" i="46"/>
  <c r="F16" i="72"/>
  <c r="H6" i="43" s="1"/>
  <c r="F15" i="72"/>
  <c r="H7" i="42"/>
  <c r="H9" i="72"/>
  <c r="J12" i="42"/>
  <c r="J11" i="42" s="1"/>
  <c r="J5" i="43" s="1"/>
  <c r="F26" i="78"/>
  <c r="F27" i="78" s="1"/>
  <c r="G6" i="78"/>
  <c r="F7" i="78"/>
  <c r="G7" i="78" s="1"/>
  <c r="G49" i="68"/>
  <c r="H39" i="68"/>
  <c r="G50" i="68"/>
  <c r="G55" i="68" s="1"/>
  <c r="J5" i="46"/>
  <c r="J9" i="46" s="1"/>
  <c r="J5" i="71"/>
  <c r="J10" i="71" s="1"/>
  <c r="I4" i="45"/>
  <c r="F13" i="46"/>
  <c r="F19" i="46" s="1"/>
  <c r="F20" i="46" s="1"/>
  <c r="F19" i="71"/>
  <c r="F20" i="71" s="1"/>
  <c r="D21" i="71"/>
  <c r="F30" i="71"/>
  <c r="C20" i="71"/>
  <c r="D22" i="71"/>
  <c r="F29" i="71"/>
  <c r="D24" i="71"/>
  <c r="I35" i="68"/>
  <c r="H45" i="68"/>
  <c r="D12" i="45"/>
  <c r="D13" i="45"/>
  <c r="D14" i="45" s="1"/>
  <c r="G14" i="71"/>
  <c r="F7" i="45"/>
  <c r="F8" i="45" s="1"/>
  <c r="F119" i="72"/>
  <c r="H10" i="42"/>
  <c r="F118" i="72"/>
  <c r="E123" i="72"/>
  <c r="G17" i="42"/>
  <c r="H18" i="64"/>
  <c r="G21" i="64"/>
  <c r="G35" i="69"/>
  <c r="G39" i="69" s="1"/>
  <c r="G31" i="69"/>
  <c r="H29" i="69"/>
  <c r="H37" i="69" s="1"/>
  <c r="I23" i="69"/>
  <c r="H30" i="69"/>
  <c r="H38" i="69" s="1"/>
  <c r="H27" i="69"/>
  <c r="H28" i="69"/>
  <c r="H36" i="69" s="1"/>
  <c r="G45" i="64"/>
  <c r="H42" i="64"/>
  <c r="G6" i="42"/>
  <c r="G15" i="42"/>
  <c r="E105" i="72"/>
  <c r="H26" i="64"/>
  <c r="G29" i="64"/>
  <c r="H36" i="68"/>
  <c r="H40" i="68" s="1"/>
  <c r="G46" i="68"/>
  <c r="H8" i="42"/>
  <c r="F100" i="72"/>
  <c r="F101" i="72"/>
  <c r="C19" i="46"/>
  <c r="D20" i="46"/>
  <c r="E9" i="45"/>
  <c r="E10" i="45" s="1"/>
  <c r="E11" i="45" s="1"/>
  <c r="G9" i="42"/>
  <c r="E110" i="72"/>
  <c r="E109" i="72"/>
  <c r="G34" i="64"/>
  <c r="F37" i="64"/>
  <c r="F13" i="42"/>
  <c r="H38" i="68"/>
  <c r="G48" i="68"/>
  <c r="E46" i="69"/>
  <c r="K6" i="64"/>
  <c r="J9" i="64"/>
  <c r="F45" i="69"/>
  <c r="F43" i="69"/>
  <c r="F44" i="69" s="1"/>
  <c r="F46" i="69" s="1"/>
  <c r="G14" i="42"/>
  <c r="E20" i="72"/>
  <c r="E19" i="71"/>
  <c r="E20" i="71" s="1"/>
  <c r="E11" i="46"/>
  <c r="E19" i="46" s="1"/>
  <c r="E20" i="46" s="1"/>
  <c r="F16" i="42"/>
  <c r="D114" i="72"/>
  <c r="P7" i="64"/>
  <c r="O5" i="64"/>
  <c r="I5" i="72"/>
  <c r="I4" i="72"/>
  <c r="K5" i="42"/>
  <c r="K4" i="42" s="1"/>
  <c r="H54" i="68" l="1"/>
  <c r="G56" i="68"/>
  <c r="G57" i="68" s="1"/>
  <c r="E12" i="45"/>
  <c r="E13" i="45" s="1"/>
  <c r="E14" i="45" s="1"/>
  <c r="L6" i="64"/>
  <c r="K9" i="64"/>
  <c r="H15" i="42"/>
  <c r="F105" i="72"/>
  <c r="J35" i="68"/>
  <c r="I45" i="68"/>
  <c r="H47" i="68"/>
  <c r="I37" i="68"/>
  <c r="L5" i="42"/>
  <c r="L4" i="42" s="1"/>
  <c r="J5" i="72"/>
  <c r="J4" i="72"/>
  <c r="G45" i="69"/>
  <c r="G43" i="69"/>
  <c r="G44" i="69" s="1"/>
  <c r="H7" i="78"/>
  <c r="C20" i="46"/>
  <c r="F27" i="46"/>
  <c r="D21" i="46"/>
  <c r="E21" i="46" s="1"/>
  <c r="F21" i="46" s="1"/>
  <c r="G21" i="46" s="1"/>
  <c r="F28" i="46"/>
  <c r="I39" i="68"/>
  <c r="H49" i="68"/>
  <c r="I9" i="72"/>
  <c r="K12" i="42"/>
  <c r="K11" i="42" s="1"/>
  <c r="K5" i="43" s="1"/>
  <c r="M29" i="71"/>
  <c r="D26" i="71"/>
  <c r="D25" i="71"/>
  <c r="C24" i="71"/>
  <c r="M30" i="71"/>
  <c r="H6" i="78"/>
  <c r="G26" i="78"/>
  <c r="G27" i="78"/>
  <c r="I30" i="69"/>
  <c r="I38" i="69" s="1"/>
  <c r="J23" i="69"/>
  <c r="I27" i="69"/>
  <c r="I28" i="69"/>
  <c r="I36" i="69" s="1"/>
  <c r="I29" i="69"/>
  <c r="I37" i="69" s="1"/>
  <c r="I6" i="45"/>
  <c r="J15" i="71" s="1"/>
  <c r="J14" i="46"/>
  <c r="J4" i="43"/>
  <c r="I7" i="42"/>
  <c r="G16" i="72"/>
  <c r="I6" i="43" s="1"/>
  <c r="G15" i="72"/>
  <c r="G100" i="72"/>
  <c r="G101" i="72"/>
  <c r="I8" i="42"/>
  <c r="H34" i="64"/>
  <c r="G37" i="64"/>
  <c r="H17" i="42"/>
  <c r="F123" i="72"/>
  <c r="E21" i="71"/>
  <c r="F21" i="71" s="1"/>
  <c r="G21" i="71" s="1"/>
  <c r="H14" i="42"/>
  <c r="F20" i="72"/>
  <c r="K5" i="46"/>
  <c r="K9" i="46" s="1"/>
  <c r="K5" i="71"/>
  <c r="K10" i="71" s="1"/>
  <c r="J4" i="45"/>
  <c r="I36" i="68"/>
  <c r="I40" i="68" s="1"/>
  <c r="H46" i="68"/>
  <c r="H50" i="68" s="1"/>
  <c r="H55" i="68" s="1"/>
  <c r="H48" i="68"/>
  <c r="I38" i="68"/>
  <c r="I26" i="64"/>
  <c r="H29" i="64"/>
  <c r="F22" i="71"/>
  <c r="F24" i="71"/>
  <c r="F26" i="71" s="1"/>
  <c r="G7" i="45"/>
  <c r="G8" i="45" s="1"/>
  <c r="H14" i="71"/>
  <c r="D23" i="71"/>
  <c r="E23" i="71" s="1"/>
  <c r="F23" i="71" s="1"/>
  <c r="C22" i="71"/>
  <c r="Q7" i="64"/>
  <c r="P5" i="64"/>
  <c r="F110" i="72"/>
  <c r="F109" i="72"/>
  <c r="H9" i="42"/>
  <c r="H6" i="42" s="1"/>
  <c r="E22" i="71"/>
  <c r="E24" i="71"/>
  <c r="E26" i="71" s="1"/>
  <c r="I18" i="64"/>
  <c r="H21" i="64"/>
  <c r="G16" i="42"/>
  <c r="G13" i="42" s="1"/>
  <c r="E114" i="72"/>
  <c r="H45" i="64"/>
  <c r="I42" i="64"/>
  <c r="I10" i="42"/>
  <c r="G119" i="72"/>
  <c r="G118" i="72"/>
  <c r="F11" i="45"/>
  <c r="F9" i="45"/>
  <c r="F10" i="45" s="1"/>
  <c r="G19" i="71"/>
  <c r="G20" i="71" s="1"/>
  <c r="G13" i="46"/>
  <c r="G19" i="46" s="1"/>
  <c r="G20" i="46" s="1"/>
  <c r="F17" i="71"/>
  <c r="F17" i="46"/>
  <c r="H35" i="69"/>
  <c r="H39" i="69" s="1"/>
  <c r="H31" i="69"/>
  <c r="H56" i="68" l="1"/>
  <c r="H57" i="68" s="1"/>
  <c r="I54" i="68"/>
  <c r="K14" i="46"/>
  <c r="J6" i="45"/>
  <c r="K15" i="71" s="1"/>
  <c r="K4" i="43"/>
  <c r="J39" i="68"/>
  <c r="I49" i="68"/>
  <c r="H21" i="46"/>
  <c r="H21" i="71"/>
  <c r="I34" i="64"/>
  <c r="H37" i="64"/>
  <c r="J29" i="69"/>
  <c r="J37" i="69" s="1"/>
  <c r="K23" i="69"/>
  <c r="J27" i="69"/>
  <c r="J30" i="69"/>
  <c r="J38" i="69" s="1"/>
  <c r="J28" i="69"/>
  <c r="J36" i="69" s="1"/>
  <c r="K5" i="72"/>
  <c r="K4" i="72"/>
  <c r="M5" i="42"/>
  <c r="M4" i="42" s="1"/>
  <c r="F12" i="45"/>
  <c r="F13" i="45" s="1"/>
  <c r="F14" i="45" s="1"/>
  <c r="I35" i="69"/>
  <c r="I39" i="69" s="1"/>
  <c r="I31" i="69"/>
  <c r="J8" i="42"/>
  <c r="H101" i="72"/>
  <c r="H100" i="72"/>
  <c r="M6" i="64"/>
  <c r="L9" i="64"/>
  <c r="H13" i="46"/>
  <c r="H19" i="46" s="1"/>
  <c r="H20" i="46" s="1"/>
  <c r="H19" i="71"/>
  <c r="H20" i="71" s="1"/>
  <c r="H15" i="72"/>
  <c r="J7" i="42"/>
  <c r="H16" i="72"/>
  <c r="J6" i="43" s="1"/>
  <c r="H27" i="78"/>
  <c r="I7" i="78"/>
  <c r="I21" i="64"/>
  <c r="J18" i="64"/>
  <c r="J38" i="68"/>
  <c r="J40" i="68" s="1"/>
  <c r="I48" i="68"/>
  <c r="G46" i="69"/>
  <c r="J42" i="64"/>
  <c r="I45" i="64"/>
  <c r="I15" i="42"/>
  <c r="G105" i="72"/>
  <c r="I6" i="78"/>
  <c r="H26" i="78"/>
  <c r="G123" i="72"/>
  <c r="I17" i="42"/>
  <c r="G24" i="71"/>
  <c r="G26" i="71" s="1"/>
  <c r="G22" i="71"/>
  <c r="G23" i="71" s="1"/>
  <c r="I14" i="42"/>
  <c r="G20" i="72"/>
  <c r="K35" i="68"/>
  <c r="J45" i="68"/>
  <c r="J36" i="68"/>
  <c r="I46" i="68"/>
  <c r="I50" i="68" s="1"/>
  <c r="I55" i="68" s="1"/>
  <c r="L12" i="42"/>
  <c r="L11" i="42" s="1"/>
  <c r="L5" i="43" s="1"/>
  <c r="J9" i="72"/>
  <c r="G9" i="45"/>
  <c r="G10" i="45" s="1"/>
  <c r="G11" i="45" s="1"/>
  <c r="H45" i="69"/>
  <c r="H43" i="69"/>
  <c r="H44" i="69" s="1"/>
  <c r="H46" i="69" s="1"/>
  <c r="H7" i="45"/>
  <c r="H8" i="45" s="1"/>
  <c r="I14" i="71"/>
  <c r="F114" i="72"/>
  <c r="H16" i="42"/>
  <c r="H13" i="42" s="1"/>
  <c r="I6" i="42"/>
  <c r="E25" i="71"/>
  <c r="F25" i="71" s="1"/>
  <c r="J10" i="42"/>
  <c r="H119" i="72"/>
  <c r="H118" i="72"/>
  <c r="I9" i="42"/>
  <c r="G110" i="72"/>
  <c r="G109" i="72"/>
  <c r="J26" i="64"/>
  <c r="I29" i="64"/>
  <c r="D27" i="71"/>
  <c r="E27" i="71" s="1"/>
  <c r="F27" i="71" s="1"/>
  <c r="G27" i="71" s="1"/>
  <c r="C26" i="71"/>
  <c r="L5" i="46"/>
  <c r="L9" i="46" s="1"/>
  <c r="L5" i="71"/>
  <c r="L10" i="71" s="1"/>
  <c r="K4" i="45"/>
  <c r="Q5" i="64"/>
  <c r="R7" i="64"/>
  <c r="G17" i="71"/>
  <c r="G17" i="46"/>
  <c r="I47" i="68"/>
  <c r="J37" i="68"/>
  <c r="I56" i="68" l="1"/>
  <c r="I57" i="68"/>
  <c r="J54" i="68"/>
  <c r="G12" i="45"/>
  <c r="G13" i="45" s="1"/>
  <c r="G14" i="45" s="1"/>
  <c r="K18" i="64"/>
  <c r="J21" i="64"/>
  <c r="I21" i="46"/>
  <c r="K40" i="68"/>
  <c r="L35" i="68"/>
  <c r="K45" i="68"/>
  <c r="K7" i="42"/>
  <c r="I16" i="72"/>
  <c r="K6" i="43" s="1"/>
  <c r="I15" i="72"/>
  <c r="I7" i="45"/>
  <c r="I8" i="45" s="1"/>
  <c r="J14" i="71"/>
  <c r="L4" i="45"/>
  <c r="M5" i="71"/>
  <c r="M10" i="71" s="1"/>
  <c r="M5" i="46"/>
  <c r="M9" i="46" s="1"/>
  <c r="K38" i="68"/>
  <c r="J48" i="68"/>
  <c r="I43" i="69"/>
  <c r="I44" i="69" s="1"/>
  <c r="I46" i="69" s="1"/>
  <c r="I45" i="69"/>
  <c r="J29" i="64"/>
  <c r="K26" i="64"/>
  <c r="M12" i="42"/>
  <c r="M11" i="42" s="1"/>
  <c r="M5" i="43" s="1"/>
  <c r="K9" i="72"/>
  <c r="K37" i="68"/>
  <c r="J47" i="68"/>
  <c r="H20" i="72"/>
  <c r="J14" i="42"/>
  <c r="H17" i="46"/>
  <c r="H17" i="71"/>
  <c r="H24" i="71" s="1"/>
  <c r="H26" i="71" s="1"/>
  <c r="H27" i="71" s="1"/>
  <c r="H22" i="71"/>
  <c r="H23" i="71" s="1"/>
  <c r="G114" i="72"/>
  <c r="I16" i="42"/>
  <c r="I13" i="42" s="1"/>
  <c r="J6" i="78"/>
  <c r="I26" i="78"/>
  <c r="I27" i="78" s="1"/>
  <c r="J17" i="42"/>
  <c r="H123" i="72"/>
  <c r="L14" i="46"/>
  <c r="L4" i="43"/>
  <c r="K6" i="45"/>
  <c r="L15" i="71" s="1"/>
  <c r="L5" i="72"/>
  <c r="L4" i="72"/>
  <c r="N5" i="42"/>
  <c r="N4" i="42" s="1"/>
  <c r="J35" i="69"/>
  <c r="J39" i="69" s="1"/>
  <c r="J31" i="69"/>
  <c r="I19" i="71"/>
  <c r="I20" i="71" s="1"/>
  <c r="I13" i="46"/>
  <c r="I19" i="46" s="1"/>
  <c r="I20" i="46" s="1"/>
  <c r="K8" i="42"/>
  <c r="I101" i="72"/>
  <c r="I100" i="72"/>
  <c r="I118" i="72"/>
  <c r="K10" i="42"/>
  <c r="I119" i="72"/>
  <c r="M9" i="64"/>
  <c r="N6" i="64"/>
  <c r="L23" i="69"/>
  <c r="K28" i="69"/>
  <c r="K36" i="69" s="1"/>
  <c r="K29" i="69"/>
  <c r="K37" i="69" s="1"/>
  <c r="K27" i="69"/>
  <c r="K30" i="69"/>
  <c r="K38" i="69" s="1"/>
  <c r="H11" i="45"/>
  <c r="H9" i="45"/>
  <c r="H10" i="45" s="1"/>
  <c r="S7" i="64"/>
  <c r="R5" i="64"/>
  <c r="J46" i="68"/>
  <c r="J50" i="68" s="1"/>
  <c r="J55" i="68" s="1"/>
  <c r="K36" i="68"/>
  <c r="K42" i="64"/>
  <c r="J45" i="64"/>
  <c r="J49" i="68"/>
  <c r="K39" i="68"/>
  <c r="H105" i="72"/>
  <c r="J15" i="42"/>
  <c r="H109" i="72"/>
  <c r="H110" i="72"/>
  <c r="J9" i="42"/>
  <c r="J6" i="42" s="1"/>
  <c r="G25" i="71"/>
  <c r="J34" i="64"/>
  <c r="I37" i="64"/>
  <c r="J56" i="68" l="1"/>
  <c r="J57" i="68" s="1"/>
  <c r="K54" i="68"/>
  <c r="J43" i="69"/>
  <c r="J44" i="69" s="1"/>
  <c r="J45" i="69"/>
  <c r="J21" i="46"/>
  <c r="N12" i="42"/>
  <c r="N11" i="42" s="1"/>
  <c r="N5" i="43" s="1"/>
  <c r="L9" i="72"/>
  <c r="L18" i="64"/>
  <c r="K21" i="64"/>
  <c r="H12" i="45"/>
  <c r="H13" i="45"/>
  <c r="H14" i="45" s="1"/>
  <c r="O6" i="64"/>
  <c r="N9" i="64"/>
  <c r="J13" i="46"/>
  <c r="J19" i="46" s="1"/>
  <c r="J20" i="46" s="1"/>
  <c r="J19" i="71"/>
  <c r="J20" i="71" s="1"/>
  <c r="K49" i="68"/>
  <c r="L39" i="68"/>
  <c r="M5" i="72"/>
  <c r="M4" i="72"/>
  <c r="O5" i="42"/>
  <c r="O4" i="42" s="1"/>
  <c r="I9" i="45"/>
  <c r="I10" i="45" s="1"/>
  <c r="I11" i="45"/>
  <c r="K35" i="69"/>
  <c r="K39" i="69" s="1"/>
  <c r="K31" i="69"/>
  <c r="L37" i="68"/>
  <c r="K47" i="68"/>
  <c r="M23" i="69"/>
  <c r="L28" i="69"/>
  <c r="L36" i="69" s="1"/>
  <c r="L27" i="69"/>
  <c r="L29" i="69"/>
  <c r="L37" i="69" s="1"/>
  <c r="L30" i="69"/>
  <c r="L38" i="69" s="1"/>
  <c r="J118" i="72"/>
  <c r="L10" i="42"/>
  <c r="J119" i="72"/>
  <c r="L38" i="68"/>
  <c r="K48" i="68"/>
  <c r="K50" i="68" s="1"/>
  <c r="K55" i="68" s="1"/>
  <c r="L42" i="64"/>
  <c r="K45" i="64"/>
  <c r="I123" i="72"/>
  <c r="K17" i="42"/>
  <c r="K14" i="42"/>
  <c r="I20" i="72"/>
  <c r="L36" i="68"/>
  <c r="K46" i="68"/>
  <c r="I105" i="72"/>
  <c r="K15" i="42"/>
  <c r="M4" i="43"/>
  <c r="L6" i="45"/>
  <c r="M15" i="71" s="1"/>
  <c r="M14" i="46"/>
  <c r="K14" i="71"/>
  <c r="J7" i="45"/>
  <c r="J8" i="45" s="1"/>
  <c r="L7" i="42"/>
  <c r="J15" i="72"/>
  <c r="J16" i="72"/>
  <c r="L6" i="43" s="1"/>
  <c r="K9" i="42"/>
  <c r="I109" i="72"/>
  <c r="I110" i="72"/>
  <c r="K6" i="78"/>
  <c r="J26" i="78"/>
  <c r="J27" i="78" s="1"/>
  <c r="K6" i="42"/>
  <c r="J16" i="42"/>
  <c r="J13" i="42" s="1"/>
  <c r="H114" i="72"/>
  <c r="J37" i="64"/>
  <c r="K34" i="64"/>
  <c r="K29" i="64"/>
  <c r="L26" i="64"/>
  <c r="J7" i="78"/>
  <c r="K7" i="78" s="1"/>
  <c r="N5" i="71"/>
  <c r="N10" i="71" s="1"/>
  <c r="M4" i="45"/>
  <c r="N5" i="46"/>
  <c r="N9" i="46" s="1"/>
  <c r="S5" i="64"/>
  <c r="T7" i="64"/>
  <c r="L8" i="42"/>
  <c r="J101" i="72"/>
  <c r="J100" i="72"/>
  <c r="H25" i="71"/>
  <c r="I17" i="71"/>
  <c r="I17" i="46"/>
  <c r="I22" i="71"/>
  <c r="I23" i="71" s="1"/>
  <c r="I24" i="71"/>
  <c r="I26" i="71" s="1"/>
  <c r="I27" i="71" s="1"/>
  <c r="I21" i="71"/>
  <c r="J21" i="71" s="1"/>
  <c r="L40" i="68"/>
  <c r="M35" i="68"/>
  <c r="L45" i="68"/>
  <c r="K56" i="68" l="1"/>
  <c r="K57" i="68" s="1"/>
  <c r="L54" i="68"/>
  <c r="J17" i="46"/>
  <c r="J17" i="71"/>
  <c r="L21" i="64"/>
  <c r="M18" i="64"/>
  <c r="O12" i="42"/>
  <c r="O11" i="42" s="1"/>
  <c r="O5" i="43" s="1"/>
  <c r="M9" i="72"/>
  <c r="L7" i="78"/>
  <c r="N4" i="43"/>
  <c r="N14" i="46"/>
  <c r="M6" i="45"/>
  <c r="N15" i="71" s="1"/>
  <c r="L6" i="42"/>
  <c r="L49" i="68"/>
  <c r="M39" i="68"/>
  <c r="J9" i="45"/>
  <c r="J10" i="45" s="1"/>
  <c r="J11" i="45" s="1"/>
  <c r="L17" i="42"/>
  <c r="J123" i="72"/>
  <c r="J24" i="71"/>
  <c r="J26" i="71" s="1"/>
  <c r="J27" i="71" s="1"/>
  <c r="J22" i="71"/>
  <c r="J23" i="71" s="1"/>
  <c r="J46" i="69"/>
  <c r="M42" i="64"/>
  <c r="L45" i="64"/>
  <c r="M26" i="64"/>
  <c r="L29" i="64"/>
  <c r="L35" i="69"/>
  <c r="L39" i="69" s="1"/>
  <c r="L31" i="69"/>
  <c r="N35" i="68"/>
  <c r="M45" i="68"/>
  <c r="O5" i="71"/>
  <c r="O10" i="71" s="1"/>
  <c r="N4" i="45"/>
  <c r="O5" i="46"/>
  <c r="O9" i="46" s="1"/>
  <c r="J105" i="72"/>
  <c r="L15" i="42"/>
  <c r="M36" i="68"/>
  <c r="L46" i="68"/>
  <c r="L50" i="68" s="1"/>
  <c r="L55" i="68" s="1"/>
  <c r="P5" i="42"/>
  <c r="P4" i="42" s="1"/>
  <c r="N5" i="72"/>
  <c r="N4" i="72"/>
  <c r="M38" i="68"/>
  <c r="L48" i="68"/>
  <c r="N23" i="69"/>
  <c r="M28" i="69"/>
  <c r="M36" i="69" s="1"/>
  <c r="M29" i="69"/>
  <c r="M37" i="69" s="1"/>
  <c r="M27" i="69"/>
  <c r="M30" i="69"/>
  <c r="M38" i="69" s="1"/>
  <c r="O9" i="64"/>
  <c r="P6" i="64"/>
  <c r="K15" i="72"/>
  <c r="M7" i="42"/>
  <c r="K16" i="72"/>
  <c r="M6" i="43" s="1"/>
  <c r="K26" i="78"/>
  <c r="K27" i="78" s="1"/>
  <c r="L6" i="78"/>
  <c r="K16" i="42"/>
  <c r="I114" i="72"/>
  <c r="K13" i="42"/>
  <c r="M37" i="68"/>
  <c r="L47" i="68"/>
  <c r="I12" i="45"/>
  <c r="I13" i="45" s="1"/>
  <c r="I14" i="45" s="1"/>
  <c r="K13" i="46"/>
  <c r="K19" i="46" s="1"/>
  <c r="K20" i="46" s="1"/>
  <c r="K21" i="46" s="1"/>
  <c r="K19" i="71"/>
  <c r="K20" i="71" s="1"/>
  <c r="T5" i="64"/>
  <c r="U7" i="64"/>
  <c r="U5" i="64" s="1"/>
  <c r="K45" i="69"/>
  <c r="K43" i="69"/>
  <c r="K44" i="69" s="1"/>
  <c r="K46" i="69" s="1"/>
  <c r="K21" i="71"/>
  <c r="K100" i="72"/>
  <c r="K101" i="72"/>
  <c r="M8" i="42"/>
  <c r="J109" i="72"/>
  <c r="J110" i="72"/>
  <c r="L9" i="42"/>
  <c r="I25" i="71"/>
  <c r="K7" i="45"/>
  <c r="K8" i="45" s="1"/>
  <c r="L14" i="71"/>
  <c r="K37" i="64"/>
  <c r="L34" i="64"/>
  <c r="L14" i="42"/>
  <c r="J20" i="72"/>
  <c r="K119" i="72"/>
  <c r="K118" i="72"/>
  <c r="M10" i="42"/>
  <c r="J12" i="45" l="1"/>
  <c r="J13" i="45" s="1"/>
  <c r="J14" i="45" s="1"/>
  <c r="L56" i="68"/>
  <c r="L57" i="68" s="1"/>
  <c r="M14" i="71"/>
  <c r="L7" i="45"/>
  <c r="L8" i="45" s="1"/>
  <c r="N36" i="68"/>
  <c r="M46" i="68"/>
  <c r="M7" i="78"/>
  <c r="N18" i="64"/>
  <c r="M21" i="64"/>
  <c r="O5" i="72"/>
  <c r="O4" i="72"/>
  <c r="Q5" i="42"/>
  <c r="Q4" i="42" s="1"/>
  <c r="L15" i="72"/>
  <c r="L16" i="72"/>
  <c r="N6" i="43" s="1"/>
  <c r="N7" i="42"/>
  <c r="L13" i="46"/>
  <c r="L19" i="46" s="1"/>
  <c r="L20" i="46" s="1"/>
  <c r="L21" i="46" s="1"/>
  <c r="L19" i="71"/>
  <c r="L20" i="71" s="1"/>
  <c r="M6" i="42"/>
  <c r="K105" i="72"/>
  <c r="M15" i="42"/>
  <c r="M14" i="42"/>
  <c r="K20" i="72"/>
  <c r="M34" i="64"/>
  <c r="L37" i="64"/>
  <c r="N45" i="68"/>
  <c r="O35" i="68"/>
  <c r="K109" i="72"/>
  <c r="K110" i="72"/>
  <c r="M9" i="42"/>
  <c r="K24" i="71"/>
  <c r="K26" i="71" s="1"/>
  <c r="K27" i="71" s="1"/>
  <c r="K22" i="71"/>
  <c r="K23" i="71" s="1"/>
  <c r="M40" i="68"/>
  <c r="P9" i="64"/>
  <c r="Q6" i="64"/>
  <c r="K17" i="46"/>
  <c r="K17" i="71"/>
  <c r="K9" i="45"/>
  <c r="K10" i="45" s="1"/>
  <c r="K11" i="45"/>
  <c r="J25" i="71"/>
  <c r="O23" i="69"/>
  <c r="N28" i="69"/>
  <c r="N36" i="69" s="1"/>
  <c r="N30" i="69"/>
  <c r="N38" i="69" s="1"/>
  <c r="N29" i="69"/>
  <c r="N37" i="69" s="1"/>
  <c r="N27" i="69"/>
  <c r="L44" i="69"/>
  <c r="L46" i="69" s="1"/>
  <c r="N39" i="68"/>
  <c r="M49" i="68"/>
  <c r="M50" i="68" s="1"/>
  <c r="M31" i="69"/>
  <c r="M35" i="69"/>
  <c r="M39" i="69" s="1"/>
  <c r="N37" i="68"/>
  <c r="M47" i="68"/>
  <c r="L43" i="69"/>
  <c r="L45" i="69"/>
  <c r="N38" i="68"/>
  <c r="M48" i="68"/>
  <c r="L101" i="72"/>
  <c r="L100" i="72"/>
  <c r="N8" i="42"/>
  <c r="M17" i="42"/>
  <c r="K123" i="72"/>
  <c r="M29" i="64"/>
  <c r="N26" i="64"/>
  <c r="N42" i="64"/>
  <c r="M45" i="64"/>
  <c r="O14" i="46"/>
  <c r="N6" i="45"/>
  <c r="O15" i="71" s="1"/>
  <c r="O4" i="43"/>
  <c r="L16" i="42"/>
  <c r="L13" i="42" s="1"/>
  <c r="J114" i="72"/>
  <c r="P12" i="42"/>
  <c r="P11" i="42" s="1"/>
  <c r="P5" i="43" s="1"/>
  <c r="N9" i="72"/>
  <c r="L26" i="78"/>
  <c r="L27" i="78" s="1"/>
  <c r="M6" i="78"/>
  <c r="O4" i="45"/>
  <c r="P5" i="46"/>
  <c r="P9" i="46" s="1"/>
  <c r="P5" i="71"/>
  <c r="P10" i="71" s="1"/>
  <c r="L118" i="72"/>
  <c r="N10" i="42"/>
  <c r="L119" i="72"/>
  <c r="L23" i="71" l="1"/>
  <c r="M119" i="72"/>
  <c r="M118" i="72"/>
  <c r="O10" i="42"/>
  <c r="O42" i="64"/>
  <c r="N45" i="64"/>
  <c r="M43" i="69"/>
  <c r="M45" i="69"/>
  <c r="Q9" i="64"/>
  <c r="R6" i="64"/>
  <c r="L9" i="45"/>
  <c r="L10" i="45" s="1"/>
  <c r="L11" i="45" s="1"/>
  <c r="M19" i="71"/>
  <c r="M20" i="71" s="1"/>
  <c r="M13" i="46"/>
  <c r="M19" i="46" s="1"/>
  <c r="M20" i="46" s="1"/>
  <c r="M21" i="46" s="1"/>
  <c r="L22" i="71"/>
  <c r="L21" i="71"/>
  <c r="M21" i="71" s="1"/>
  <c r="O36" i="68"/>
  <c r="N46" i="68"/>
  <c r="R5" i="42"/>
  <c r="R4" i="42" s="1"/>
  <c r="P5" i="72"/>
  <c r="P4" i="72"/>
  <c r="N31" i="69"/>
  <c r="N35" i="69"/>
  <c r="N39" i="69" s="1"/>
  <c r="N6" i="42"/>
  <c r="L105" i="72"/>
  <c r="N15" i="42"/>
  <c r="M7" i="45"/>
  <c r="M8" i="45" s="1"/>
  <c r="N14" i="71"/>
  <c r="M100" i="72"/>
  <c r="M101" i="72"/>
  <c r="O8" i="42"/>
  <c r="K114" i="72"/>
  <c r="M16" i="42"/>
  <c r="P35" i="68"/>
  <c r="O45" i="68"/>
  <c r="L20" i="72"/>
  <c r="N14" i="42"/>
  <c r="M13" i="42"/>
  <c r="M54" i="68"/>
  <c r="M55" i="68"/>
  <c r="M26" i="78"/>
  <c r="M27" i="78" s="1"/>
  <c r="N6" i="78"/>
  <c r="N40" i="68"/>
  <c r="Q5" i="46"/>
  <c r="Q9" i="46" s="1"/>
  <c r="P4" i="45"/>
  <c r="Q5" i="71"/>
  <c r="Q10" i="71" s="1"/>
  <c r="M44" i="69"/>
  <c r="M46" i="69" s="1"/>
  <c r="Q12" i="42"/>
  <c r="Q11" i="42" s="1"/>
  <c r="Q5" i="43" s="1"/>
  <c r="O9" i="72"/>
  <c r="O26" i="64"/>
  <c r="N29" i="64"/>
  <c r="O39" i="68"/>
  <c r="N49" i="68"/>
  <c r="O38" i="68"/>
  <c r="N48" i="68"/>
  <c r="K12" i="45"/>
  <c r="K13" i="45" s="1"/>
  <c r="K14" i="45" s="1"/>
  <c r="L110" i="72"/>
  <c r="N9" i="42"/>
  <c r="L109" i="72"/>
  <c r="M16" i="72"/>
  <c r="O6" i="43" s="1"/>
  <c r="M15" i="72"/>
  <c r="O7" i="42"/>
  <c r="N7" i="78"/>
  <c r="N17" i="42"/>
  <c r="L123" i="72"/>
  <c r="K25" i="71"/>
  <c r="L17" i="71"/>
  <c r="L24" i="71" s="1"/>
  <c r="L26" i="71" s="1"/>
  <c r="L27" i="71" s="1"/>
  <c r="L17" i="46"/>
  <c r="N34" i="64"/>
  <c r="M37" i="64"/>
  <c r="O18" i="64"/>
  <c r="N21" i="64"/>
  <c r="O6" i="45"/>
  <c r="P15" i="71" s="1"/>
  <c r="P4" i="43"/>
  <c r="P14" i="46"/>
  <c r="O30" i="69"/>
  <c r="O38" i="69" s="1"/>
  <c r="P23" i="69"/>
  <c r="O29" i="69"/>
  <c r="O37" i="69" s="1"/>
  <c r="O27" i="69"/>
  <c r="O28" i="69"/>
  <c r="O36" i="69" s="1"/>
  <c r="O37" i="68"/>
  <c r="O40" i="68" s="1"/>
  <c r="N47" i="68"/>
  <c r="N50" i="68" s="1"/>
  <c r="L12" i="45" l="1"/>
  <c r="L13" i="45" s="1"/>
  <c r="L14" i="45" s="1"/>
  <c r="O54" i="68"/>
  <c r="O49" i="68"/>
  <c r="P39" i="68"/>
  <c r="L25" i="71"/>
  <c r="M32" i="71"/>
  <c r="P8" i="42"/>
  <c r="N101" i="72"/>
  <c r="N100" i="72"/>
  <c r="N43" i="69"/>
  <c r="N44" i="69" s="1"/>
  <c r="N46" i="69" s="1"/>
  <c r="N45" i="69"/>
  <c r="P9" i="72"/>
  <c r="R12" i="42"/>
  <c r="R11" i="42" s="1"/>
  <c r="R5" i="43" s="1"/>
  <c r="P45" i="68"/>
  <c r="Q35" i="68"/>
  <c r="P10" i="42"/>
  <c r="N118" i="72"/>
  <c r="N119" i="72"/>
  <c r="O29" i="64"/>
  <c r="P26" i="64"/>
  <c r="O7" i="78"/>
  <c r="R5" i="71"/>
  <c r="R10" i="71" s="1"/>
  <c r="R5" i="46"/>
  <c r="R9" i="46" s="1"/>
  <c r="Q4" i="45"/>
  <c r="P42" i="64"/>
  <c r="O45" i="64"/>
  <c r="S6" i="64"/>
  <c r="R9" i="64"/>
  <c r="P6" i="45"/>
  <c r="Q15" i="71" s="1"/>
  <c r="Q14" i="46"/>
  <c r="Q4" i="43"/>
  <c r="N16" i="42"/>
  <c r="N13" i="42" s="1"/>
  <c r="L114" i="72"/>
  <c r="S5" i="42"/>
  <c r="S4" i="42" s="1"/>
  <c r="Q5" i="72"/>
  <c r="Q4" i="72"/>
  <c r="O46" i="68"/>
  <c r="P36" i="68"/>
  <c r="P40" i="68" s="1"/>
  <c r="O17" i="42"/>
  <c r="M123" i="72"/>
  <c r="P37" i="68"/>
  <c r="O47" i="68"/>
  <c r="O31" i="69"/>
  <c r="O35" i="69"/>
  <c r="O39" i="69" s="1"/>
  <c r="Q23" i="69"/>
  <c r="P30" i="69"/>
  <c r="P38" i="69" s="1"/>
  <c r="P28" i="69"/>
  <c r="P36" i="69" s="1"/>
  <c r="P27" i="69"/>
  <c r="P29" i="69"/>
  <c r="P37" i="69" s="1"/>
  <c r="N7" i="45"/>
  <c r="N8" i="45" s="1"/>
  <c r="O14" i="71"/>
  <c r="M17" i="71"/>
  <c r="M24" i="71" s="1"/>
  <c r="M26" i="71" s="1"/>
  <c r="M27" i="71" s="1"/>
  <c r="M17" i="46"/>
  <c r="O14" i="42"/>
  <c r="M20" i="72"/>
  <c r="N15" i="72"/>
  <c r="P7" i="42"/>
  <c r="N16" i="72"/>
  <c r="P6" i="43" s="1"/>
  <c r="N55" i="68"/>
  <c r="N54" i="68"/>
  <c r="O15" i="42"/>
  <c r="M105" i="72"/>
  <c r="P18" i="64"/>
  <c r="O21" i="64"/>
  <c r="O6" i="78"/>
  <c r="N26" i="78"/>
  <c r="N27" i="78" s="1"/>
  <c r="N19" i="71"/>
  <c r="N20" i="71" s="1"/>
  <c r="N13" i="46"/>
  <c r="N19" i="46" s="1"/>
  <c r="M109" i="72"/>
  <c r="M110" i="72"/>
  <c r="O9" i="42"/>
  <c r="O6" i="42" s="1"/>
  <c r="M9" i="45"/>
  <c r="M10" i="45" s="1"/>
  <c r="M11" i="45"/>
  <c r="O34" i="64"/>
  <c r="N37" i="64"/>
  <c r="O48" i="68"/>
  <c r="O50" i="68" s="1"/>
  <c r="O55" i="68" s="1"/>
  <c r="P38" i="68"/>
  <c r="M23" i="71"/>
  <c r="M57" i="68"/>
  <c r="M56" i="68"/>
  <c r="M22" i="71"/>
  <c r="O56" i="68" l="1"/>
  <c r="O57" i="68"/>
  <c r="P54" i="68"/>
  <c r="Q26" i="64"/>
  <c r="P29" i="64"/>
  <c r="N105" i="72"/>
  <c r="P15" i="42"/>
  <c r="P21" i="64"/>
  <c r="Q18" i="64"/>
  <c r="N123" i="72"/>
  <c r="P17" i="42"/>
  <c r="P31" i="69"/>
  <c r="P35" i="69"/>
  <c r="P39" i="69" s="1"/>
  <c r="M25" i="71"/>
  <c r="O101" i="72"/>
  <c r="O100" i="72"/>
  <c r="Q8" i="42"/>
  <c r="Q39" i="68"/>
  <c r="P49" i="68"/>
  <c r="P7" i="78"/>
  <c r="N56" i="68"/>
  <c r="N57" i="68"/>
  <c r="R35" i="68"/>
  <c r="Q45" i="68"/>
  <c r="Q9" i="72"/>
  <c r="S12" i="42"/>
  <c r="S11" i="42" s="1"/>
  <c r="S5" i="43" s="1"/>
  <c r="R23" i="69"/>
  <c r="Q28" i="69"/>
  <c r="Q36" i="69" s="1"/>
  <c r="Q27" i="69"/>
  <c r="Q30" i="69"/>
  <c r="Q38" i="69" s="1"/>
  <c r="Q29" i="69"/>
  <c r="Q37" i="69" s="1"/>
  <c r="N20" i="72"/>
  <c r="P14" i="42"/>
  <c r="O43" i="69"/>
  <c r="O44" i="69" s="1"/>
  <c r="O46" i="69" s="1"/>
  <c r="O45" i="69"/>
  <c r="P14" i="71"/>
  <c r="O7" i="45"/>
  <c r="O8" i="45" s="1"/>
  <c r="N17" i="71"/>
  <c r="N17" i="46"/>
  <c r="R4" i="72"/>
  <c r="R5" i="72"/>
  <c r="T5" i="42"/>
  <c r="T4" i="42" s="1"/>
  <c r="S5" i="46"/>
  <c r="S9" i="46" s="1"/>
  <c r="R4" i="45"/>
  <c r="S5" i="71"/>
  <c r="S10" i="71" s="1"/>
  <c r="Q37" i="68"/>
  <c r="P47" i="68"/>
  <c r="T6" i="64"/>
  <c r="S9" i="64"/>
  <c r="Q6" i="45"/>
  <c r="R15" i="71" s="1"/>
  <c r="R14" i="46"/>
  <c r="R4" i="43"/>
  <c r="O118" i="72"/>
  <c r="Q10" i="42"/>
  <c r="O119" i="72"/>
  <c r="N110" i="72"/>
  <c r="P9" i="42"/>
  <c r="P6" i="42" s="1"/>
  <c r="N109" i="72"/>
  <c r="Q42" i="64"/>
  <c r="P45" i="64"/>
  <c r="M12" i="45"/>
  <c r="M13" i="45" s="1"/>
  <c r="M14" i="45" s="1"/>
  <c r="F30" i="46"/>
  <c r="N20" i="46"/>
  <c r="N21" i="46" s="1"/>
  <c r="O21" i="46" s="1"/>
  <c r="N24" i="71"/>
  <c r="N26" i="71" s="1"/>
  <c r="N27" i="71" s="1"/>
  <c r="N22" i="71"/>
  <c r="N23" i="71" s="1"/>
  <c r="N21" i="71"/>
  <c r="O21" i="71" s="1"/>
  <c r="Q36" i="68"/>
  <c r="P46" i="68"/>
  <c r="P50" i="68" s="1"/>
  <c r="P55" i="68" s="1"/>
  <c r="P34" i="64"/>
  <c r="O37" i="64"/>
  <c r="O16" i="42"/>
  <c r="O13" i="42" s="1"/>
  <c r="M114" i="72"/>
  <c r="F32" i="71"/>
  <c r="P6" i="78"/>
  <c r="O26" i="78"/>
  <c r="O27" i="78" s="1"/>
  <c r="N9" i="45"/>
  <c r="N10" i="45" s="1"/>
  <c r="N11" i="45" s="1"/>
  <c r="P48" i="68"/>
  <c r="Q38" i="68"/>
  <c r="Q40" i="68" s="1"/>
  <c r="O15" i="72"/>
  <c r="O16" i="72"/>
  <c r="Q6" i="43" s="1"/>
  <c r="Q7" i="42"/>
  <c r="O19" i="71"/>
  <c r="O20" i="71" s="1"/>
  <c r="O13" i="46"/>
  <c r="O19" i="46" s="1"/>
  <c r="O20" i="46" s="1"/>
  <c r="Q54" i="68" l="1"/>
  <c r="P56" i="68"/>
  <c r="P57" i="68"/>
  <c r="N12" i="45"/>
  <c r="N13" i="45" s="1"/>
  <c r="N14" i="45" s="1"/>
  <c r="Q14" i="42"/>
  <c r="O20" i="72"/>
  <c r="R36" i="68"/>
  <c r="Q46" i="68"/>
  <c r="Q50" i="68" s="1"/>
  <c r="Q55" i="68" s="1"/>
  <c r="S35" i="68"/>
  <c r="R45" i="68"/>
  <c r="Q7" i="78"/>
  <c r="R8" i="42"/>
  <c r="P101" i="72"/>
  <c r="P100" i="72"/>
  <c r="O9" i="45"/>
  <c r="O10" i="45" s="1"/>
  <c r="R39" i="68"/>
  <c r="Q49" i="68"/>
  <c r="R26" i="64"/>
  <c r="Q29" i="64"/>
  <c r="Q14" i="71"/>
  <c r="P7" i="45"/>
  <c r="P8" i="45" s="1"/>
  <c r="Q47" i="68"/>
  <c r="R37" i="68"/>
  <c r="Q6" i="78"/>
  <c r="P26" i="78"/>
  <c r="P27" i="78" s="1"/>
  <c r="Q17" i="42"/>
  <c r="O123" i="72"/>
  <c r="R10" i="42"/>
  <c r="P119" i="72"/>
  <c r="P118" i="72"/>
  <c r="P21" i="71"/>
  <c r="R7" i="42"/>
  <c r="P16" i="72"/>
  <c r="R6" i="43" s="1"/>
  <c r="P15" i="72"/>
  <c r="T9" i="64"/>
  <c r="U6" i="64"/>
  <c r="U9" i="64" s="1"/>
  <c r="R42" i="64"/>
  <c r="Q45" i="64"/>
  <c r="O105" i="72"/>
  <c r="Q15" i="42"/>
  <c r="R18" i="64"/>
  <c r="Q21" i="64"/>
  <c r="P13" i="46"/>
  <c r="P19" i="46" s="1"/>
  <c r="P20" i="46" s="1"/>
  <c r="P21" i="46" s="1"/>
  <c r="P19" i="71"/>
  <c r="P20" i="71" s="1"/>
  <c r="P16" i="42"/>
  <c r="P13" i="42" s="1"/>
  <c r="N114" i="72"/>
  <c r="T5" i="71"/>
  <c r="T10" i="71" s="1"/>
  <c r="T5" i="46"/>
  <c r="T9" i="46" s="1"/>
  <c r="S4" i="45"/>
  <c r="Q31" i="69"/>
  <c r="Q35" i="69"/>
  <c r="Q39" i="69" s="1"/>
  <c r="R38" i="68"/>
  <c r="Q48" i="68"/>
  <c r="T12" i="42"/>
  <c r="T11" i="42" s="1"/>
  <c r="T5" i="43" s="1"/>
  <c r="R9" i="72"/>
  <c r="S4" i="72"/>
  <c r="S5" i="72"/>
  <c r="U5" i="42"/>
  <c r="U4" i="42" s="1"/>
  <c r="N25" i="71"/>
  <c r="Q34" i="64"/>
  <c r="P37" i="64"/>
  <c r="S23" i="69"/>
  <c r="R28" i="69"/>
  <c r="R36" i="69" s="1"/>
  <c r="R27" i="69"/>
  <c r="R29" i="69"/>
  <c r="R37" i="69" s="1"/>
  <c r="R30" i="69"/>
  <c r="R38" i="69" s="1"/>
  <c r="R6" i="45"/>
  <c r="S15" i="71" s="1"/>
  <c r="S4" i="43"/>
  <c r="S14" i="46"/>
  <c r="P44" i="69"/>
  <c r="P46" i="69" s="1"/>
  <c r="O17" i="46"/>
  <c r="O17" i="71"/>
  <c r="O110" i="72"/>
  <c r="Q9" i="42"/>
  <c r="O109" i="72"/>
  <c r="O24" i="71"/>
  <c r="O26" i="71" s="1"/>
  <c r="O27" i="71" s="1"/>
  <c r="O22" i="71"/>
  <c r="O23" i="71" s="1"/>
  <c r="Q6" i="42"/>
  <c r="P43" i="69"/>
  <c r="P45" i="69"/>
  <c r="Q56" i="68" l="1"/>
  <c r="Q57" i="68" s="1"/>
  <c r="P20" i="72"/>
  <c r="R14" i="42"/>
  <c r="P9" i="45"/>
  <c r="P10" i="45" s="1"/>
  <c r="R46" i="68"/>
  <c r="R50" i="68" s="1"/>
  <c r="S36" i="68"/>
  <c r="S40" i="68" s="1"/>
  <c r="R6" i="42"/>
  <c r="Q100" i="72"/>
  <c r="Q101" i="72"/>
  <c r="S8" i="42"/>
  <c r="S26" i="64"/>
  <c r="R29" i="64"/>
  <c r="Q13" i="46"/>
  <c r="Q19" i="46" s="1"/>
  <c r="Q20" i="46" s="1"/>
  <c r="Q21" i="46" s="1"/>
  <c r="Q19" i="71"/>
  <c r="Q20" i="71" s="1"/>
  <c r="Q7" i="45"/>
  <c r="Q8" i="45" s="1"/>
  <c r="R14" i="71"/>
  <c r="R17" i="42"/>
  <c r="P123" i="72"/>
  <c r="S39" i="68"/>
  <c r="R49" i="68"/>
  <c r="P17" i="46"/>
  <c r="P17" i="71"/>
  <c r="P24" i="71" s="1"/>
  <c r="P26" i="71" s="1"/>
  <c r="P27" i="71" s="1"/>
  <c r="V5" i="42"/>
  <c r="V4" i="42" s="1"/>
  <c r="T4" i="72"/>
  <c r="T5" i="72"/>
  <c r="Q21" i="71"/>
  <c r="S7" i="42"/>
  <c r="Q16" i="72"/>
  <c r="S6" i="43" s="1"/>
  <c r="Q15" i="72"/>
  <c r="O11" i="45"/>
  <c r="R34" i="64"/>
  <c r="Q37" i="64"/>
  <c r="P22" i="71"/>
  <c r="P23" i="71" s="1"/>
  <c r="S6" i="45"/>
  <c r="T15" i="71" s="1"/>
  <c r="T4" i="43"/>
  <c r="T14" i="46"/>
  <c r="S18" i="64"/>
  <c r="R21" i="64"/>
  <c r="P105" i="72"/>
  <c r="R15" i="42"/>
  <c r="P110" i="72"/>
  <c r="R9" i="42"/>
  <c r="P109" i="72"/>
  <c r="T4" i="45"/>
  <c r="U5" i="46"/>
  <c r="U9" i="46" s="1"/>
  <c r="U5" i="71"/>
  <c r="U10" i="71" s="1"/>
  <c r="M31" i="71"/>
  <c r="R48" i="68"/>
  <c r="S38" i="68"/>
  <c r="R7" i="78"/>
  <c r="Q118" i="72"/>
  <c r="S10" i="42"/>
  <c r="Q119" i="72"/>
  <c r="Q16" i="42"/>
  <c r="Q13" i="42" s="1"/>
  <c r="O114" i="72"/>
  <c r="S9" i="72"/>
  <c r="U12" i="42"/>
  <c r="U11" i="42" s="1"/>
  <c r="U5" i="43" s="1"/>
  <c r="Q43" i="69"/>
  <c r="Q45" i="69"/>
  <c r="S42" i="64"/>
  <c r="R45" i="64"/>
  <c r="R6" i="78"/>
  <c r="Q26" i="78"/>
  <c r="Q27" i="78" s="1"/>
  <c r="S45" i="68"/>
  <c r="T35" i="68"/>
  <c r="T23" i="69"/>
  <c r="S27" i="69"/>
  <c r="S29" i="69"/>
  <c r="S37" i="69" s="1"/>
  <c r="S28" i="69"/>
  <c r="S36" i="69" s="1"/>
  <c r="S30" i="69"/>
  <c r="S38" i="69" s="1"/>
  <c r="O25" i="71"/>
  <c r="R35" i="69"/>
  <c r="R39" i="69" s="1"/>
  <c r="R31" i="69"/>
  <c r="Q44" i="69"/>
  <c r="Q46" i="69" s="1"/>
  <c r="W5" i="42"/>
  <c r="W4" i="42" s="1"/>
  <c r="U4" i="72"/>
  <c r="U5" i="72"/>
  <c r="S37" i="68"/>
  <c r="R47" i="68"/>
  <c r="R40" i="68"/>
  <c r="S54" i="68" l="1"/>
  <c r="U35" i="68"/>
  <c r="T45" i="68"/>
  <c r="Q123" i="72"/>
  <c r="S17" i="42"/>
  <c r="Q17" i="46"/>
  <c r="Q17" i="71"/>
  <c r="Q24" i="71" s="1"/>
  <c r="Q26" i="71" s="1"/>
  <c r="Q27" i="71" s="1"/>
  <c r="S48" i="68"/>
  <c r="T38" i="68"/>
  <c r="P11" i="45"/>
  <c r="T18" i="64"/>
  <c r="S21" i="64"/>
  <c r="Q110" i="72"/>
  <c r="S9" i="42"/>
  <c r="Q109" i="72"/>
  <c r="R13" i="42"/>
  <c r="T36" i="68"/>
  <c r="S46" i="68"/>
  <c r="S50" i="68" s="1"/>
  <c r="S55" i="68" s="1"/>
  <c r="S34" i="64"/>
  <c r="R37" i="64"/>
  <c r="R13" i="46"/>
  <c r="R19" i="46" s="1"/>
  <c r="R20" i="46" s="1"/>
  <c r="R21" i="46" s="1"/>
  <c r="R19" i="71"/>
  <c r="R20" i="71" s="1"/>
  <c r="U9" i="72"/>
  <c r="W12" i="42"/>
  <c r="W11" i="42" s="1"/>
  <c r="W5" i="43" s="1"/>
  <c r="V4" i="45"/>
  <c r="W5" i="71"/>
  <c r="W10" i="71" s="1"/>
  <c r="W5" i="46"/>
  <c r="W9" i="46" s="1"/>
  <c r="O12" i="45"/>
  <c r="O13" i="45"/>
  <c r="O14" i="45" s="1"/>
  <c r="Q9" i="45"/>
  <c r="Q10" i="45" s="1"/>
  <c r="Q11" i="45" s="1"/>
  <c r="R26" i="78"/>
  <c r="R27" i="78" s="1"/>
  <c r="S6" i="78"/>
  <c r="T6" i="45"/>
  <c r="U15" i="71" s="1"/>
  <c r="U14" i="46"/>
  <c r="U4" i="43"/>
  <c r="R16" i="42"/>
  <c r="P114" i="72"/>
  <c r="Q20" i="72"/>
  <c r="S14" i="42"/>
  <c r="Q22" i="71"/>
  <c r="Q23" i="71" s="1"/>
  <c r="T39" i="68"/>
  <c r="S49" i="68"/>
  <c r="T42" i="64"/>
  <c r="S45" i="64"/>
  <c r="P25" i="71"/>
  <c r="S14" i="71"/>
  <c r="R7" i="45"/>
  <c r="R8" i="45" s="1"/>
  <c r="T37" i="68"/>
  <c r="S47" i="68"/>
  <c r="S6" i="42"/>
  <c r="R101" i="72"/>
  <c r="T8" i="42"/>
  <c r="R100" i="72"/>
  <c r="S15" i="42"/>
  <c r="Q105" i="72"/>
  <c r="S29" i="64"/>
  <c r="T26" i="64"/>
  <c r="R55" i="68"/>
  <c r="R54" i="68"/>
  <c r="R43" i="69"/>
  <c r="R44" i="69" s="1"/>
  <c r="R45" i="69"/>
  <c r="S35" i="69"/>
  <c r="S39" i="69" s="1"/>
  <c r="S31" i="69"/>
  <c r="V12" i="42"/>
  <c r="V11" i="42" s="1"/>
  <c r="V5" i="43" s="1"/>
  <c r="T9" i="72"/>
  <c r="T10" i="42"/>
  <c r="R119" i="72"/>
  <c r="R118" i="72"/>
  <c r="U23" i="69"/>
  <c r="T30" i="69"/>
  <c r="T38" i="69" s="1"/>
  <c r="T28" i="69"/>
  <c r="T36" i="69" s="1"/>
  <c r="T29" i="69"/>
  <c r="T37" i="69" s="1"/>
  <c r="T27" i="69"/>
  <c r="T7" i="42"/>
  <c r="R15" i="72"/>
  <c r="R16" i="72"/>
  <c r="T6" i="43" s="1"/>
  <c r="V5" i="71"/>
  <c r="V10" i="71" s="1"/>
  <c r="U4" i="45"/>
  <c r="V5" i="46"/>
  <c r="V9" i="46" s="1"/>
  <c r="Q12" i="45" l="1"/>
  <c r="Q13" i="45" s="1"/>
  <c r="S56" i="68"/>
  <c r="S57" i="68"/>
  <c r="S26" i="78"/>
  <c r="S27" i="78" s="1"/>
  <c r="T6" i="78"/>
  <c r="S7" i="78"/>
  <c r="U37" i="68"/>
  <c r="T47" i="68"/>
  <c r="T50" i="68" s="1"/>
  <c r="T35" i="69"/>
  <c r="T39" i="69" s="1"/>
  <c r="T31" i="69"/>
  <c r="U10" i="42"/>
  <c r="S119" i="72"/>
  <c r="S118" i="72"/>
  <c r="U36" i="68"/>
  <c r="U40" i="68" s="1"/>
  <c r="T46" i="68"/>
  <c r="T40" i="68"/>
  <c r="U8" i="42"/>
  <c r="S100" i="72"/>
  <c r="S101" i="72"/>
  <c r="R22" i="71"/>
  <c r="R23" i="71" s="1"/>
  <c r="T34" i="64"/>
  <c r="S37" i="64"/>
  <c r="U26" i="64"/>
  <c r="U29" i="64" s="1"/>
  <c r="T29" i="64"/>
  <c r="S16" i="42"/>
  <c r="Q114" i="72"/>
  <c r="V35" i="68"/>
  <c r="U45" i="68"/>
  <c r="T14" i="42"/>
  <c r="R20" i="72"/>
  <c r="R9" i="45"/>
  <c r="R10" i="45" s="1"/>
  <c r="R56" i="68"/>
  <c r="R57" i="68"/>
  <c r="U42" i="64"/>
  <c r="U45" i="64" s="1"/>
  <c r="T45" i="64"/>
  <c r="V23" i="69"/>
  <c r="U30" i="69"/>
  <c r="U38" i="69" s="1"/>
  <c r="U28" i="69"/>
  <c r="U36" i="69" s="1"/>
  <c r="U27" i="69"/>
  <c r="U29" i="69"/>
  <c r="U37" i="69" s="1"/>
  <c r="R21" i="71"/>
  <c r="U39" i="68"/>
  <c r="T49" i="68"/>
  <c r="R46" i="69"/>
  <c r="S19" i="71"/>
  <c r="S20" i="71" s="1"/>
  <c r="S13" i="46"/>
  <c r="S19" i="46" s="1"/>
  <c r="S20" i="46" s="1"/>
  <c r="S21" i="46" s="1"/>
  <c r="R17" i="46"/>
  <c r="R17" i="71"/>
  <c r="R24" i="71" s="1"/>
  <c r="R26" i="71" s="1"/>
  <c r="R27" i="71" s="1"/>
  <c r="T17" i="42"/>
  <c r="R123" i="72"/>
  <c r="F29" i="46"/>
  <c r="S15" i="72"/>
  <c r="U7" i="42"/>
  <c r="S16" i="72"/>
  <c r="U6" i="43" s="1"/>
  <c r="T21" i="64"/>
  <c r="U18" i="64"/>
  <c r="U21" i="64" s="1"/>
  <c r="T9" i="42"/>
  <c r="R109" i="72"/>
  <c r="R110" i="72"/>
  <c r="Q25" i="71"/>
  <c r="T15" i="42"/>
  <c r="R105" i="72"/>
  <c r="U6" i="45"/>
  <c r="V15" i="71" s="1"/>
  <c r="V4" i="43"/>
  <c r="V14" i="46"/>
  <c r="W14" i="46"/>
  <c r="V6" i="45"/>
  <c r="W15" i="71" s="1"/>
  <c r="W4" i="43"/>
  <c r="P12" i="45"/>
  <c r="P13" i="45" s="1"/>
  <c r="P14" i="45" s="1"/>
  <c r="Q14" i="45" s="1"/>
  <c r="S7" i="45"/>
  <c r="S8" i="45" s="1"/>
  <c r="T14" i="71"/>
  <c r="T6" i="42"/>
  <c r="S13" i="42"/>
  <c r="S45" i="69"/>
  <c r="S43" i="69"/>
  <c r="S44" i="69" s="1"/>
  <c r="S46" i="69" s="1"/>
  <c r="T48" i="68"/>
  <c r="U38" i="68"/>
  <c r="U54" i="68" l="1"/>
  <c r="U118" i="72"/>
  <c r="W10" i="42"/>
  <c r="U119" i="72"/>
  <c r="U9" i="42"/>
  <c r="U6" i="42" s="1"/>
  <c r="S110" i="72"/>
  <c r="S109" i="72"/>
  <c r="T44" i="69"/>
  <c r="T46" i="69" s="1"/>
  <c r="V10" i="42"/>
  <c r="T119" i="72"/>
  <c r="T118" i="72"/>
  <c r="V37" i="68"/>
  <c r="U47" i="68"/>
  <c r="T7" i="78"/>
  <c r="U7" i="78" s="1"/>
  <c r="U6" i="78"/>
  <c r="T26" i="78"/>
  <c r="T27" i="78" s="1"/>
  <c r="S22" i="71"/>
  <c r="S23" i="71" s="1"/>
  <c r="T13" i="46"/>
  <c r="T19" i="46" s="1"/>
  <c r="T20" i="46" s="1"/>
  <c r="T21" i="46" s="1"/>
  <c r="T19" i="71"/>
  <c r="T20" i="71" s="1"/>
  <c r="S105" i="72"/>
  <c r="U15" i="42"/>
  <c r="R114" i="72"/>
  <c r="T16" i="42"/>
  <c r="T13" i="42" s="1"/>
  <c r="S9" i="45"/>
  <c r="S10" i="45" s="1"/>
  <c r="S11" i="45" s="1"/>
  <c r="T16" i="72"/>
  <c r="V6" i="43" s="1"/>
  <c r="T15" i="72"/>
  <c r="V7" i="42"/>
  <c r="W8" i="42"/>
  <c r="C8" i="42" s="1"/>
  <c r="U100" i="72"/>
  <c r="U101" i="72"/>
  <c r="U15" i="72"/>
  <c r="W7" i="42"/>
  <c r="U16" i="72"/>
  <c r="W6" i="43" s="1"/>
  <c r="U49" i="68"/>
  <c r="V39" i="68"/>
  <c r="U50" i="68"/>
  <c r="U55" i="68" s="1"/>
  <c r="T54" i="68"/>
  <c r="T55" i="68"/>
  <c r="R25" i="71"/>
  <c r="U14" i="71"/>
  <c r="T7" i="45"/>
  <c r="T8" i="45" s="1"/>
  <c r="S21" i="71"/>
  <c r="U17" i="42"/>
  <c r="S123" i="72"/>
  <c r="V36" i="68"/>
  <c r="U46" i="68"/>
  <c r="U31" i="69"/>
  <c r="U35" i="69"/>
  <c r="U39" i="69" s="1"/>
  <c r="S17" i="46"/>
  <c r="S17" i="71"/>
  <c r="S24" i="71" s="1"/>
  <c r="S26" i="71" s="1"/>
  <c r="S27" i="71" s="1"/>
  <c r="S20" i="72"/>
  <c r="U14" i="42"/>
  <c r="F31" i="71"/>
  <c r="U34" i="64"/>
  <c r="U37" i="64" s="1"/>
  <c r="T37" i="64"/>
  <c r="R11" i="45"/>
  <c r="W35" i="68"/>
  <c r="V45" i="68"/>
  <c r="V38" i="68"/>
  <c r="U48" i="68"/>
  <c r="W23" i="69"/>
  <c r="V27" i="69"/>
  <c r="V28" i="69"/>
  <c r="V36" i="69" s="1"/>
  <c r="V29" i="69"/>
  <c r="V37" i="69" s="1"/>
  <c r="V30" i="69"/>
  <c r="V38" i="69" s="1"/>
  <c r="T100" i="72"/>
  <c r="T101" i="72"/>
  <c r="V8" i="42"/>
  <c r="T45" i="69"/>
  <c r="T43" i="69"/>
  <c r="S12" i="45" l="1"/>
  <c r="S13" i="45"/>
  <c r="U56" i="68"/>
  <c r="U57" i="68" s="1"/>
  <c r="W39" i="68"/>
  <c r="W49" i="68" s="1"/>
  <c r="V49" i="68"/>
  <c r="U16" i="42"/>
  <c r="U13" i="42" s="1"/>
  <c r="S114" i="72"/>
  <c r="W38" i="68"/>
  <c r="W48" i="68" s="1"/>
  <c r="V48" i="68"/>
  <c r="C10" i="42"/>
  <c r="U123" i="72"/>
  <c r="W17" i="42"/>
  <c r="W36" i="68"/>
  <c r="W46" i="68" s="1"/>
  <c r="V46" i="68"/>
  <c r="W14" i="42"/>
  <c r="U20" i="72"/>
  <c r="T56" i="68"/>
  <c r="T57" i="68" s="1"/>
  <c r="V31" i="69"/>
  <c r="V35" i="69"/>
  <c r="V39" i="69" s="1"/>
  <c r="W29" i="69"/>
  <c r="W37" i="69" s="1"/>
  <c r="W28" i="69"/>
  <c r="W36" i="69" s="1"/>
  <c r="W30" i="69"/>
  <c r="W38" i="69" s="1"/>
  <c r="W27" i="69"/>
  <c r="V7" i="45"/>
  <c r="V8" i="45" s="1"/>
  <c r="W14" i="71"/>
  <c r="C7" i="42"/>
  <c r="W45" i="68"/>
  <c r="T22" i="71"/>
  <c r="T23" i="71" s="1"/>
  <c r="T24" i="71"/>
  <c r="T26" i="71" s="1"/>
  <c r="T27" i="71" s="1"/>
  <c r="U43" i="69"/>
  <c r="U44" i="69" s="1"/>
  <c r="U46" i="69" s="1"/>
  <c r="U45" i="69"/>
  <c r="V40" i="68"/>
  <c r="W15" i="42"/>
  <c r="C15" i="42" s="1"/>
  <c r="U105" i="72"/>
  <c r="U26" i="78"/>
  <c r="U27" i="78" s="1"/>
  <c r="V6" i="78"/>
  <c r="T17" i="71"/>
  <c r="T17" i="46"/>
  <c r="T105" i="72"/>
  <c r="V15" i="42"/>
  <c r="R12" i="45"/>
  <c r="R13" i="45"/>
  <c r="R14" i="45" s="1"/>
  <c r="S14" i="45" s="1"/>
  <c r="T109" i="72"/>
  <c r="V9" i="42"/>
  <c r="V6" i="42" s="1"/>
  <c r="T110" i="72"/>
  <c r="U13" i="46"/>
  <c r="U19" i="46" s="1"/>
  <c r="U20" i="46" s="1"/>
  <c r="U21" i="46" s="1"/>
  <c r="U19" i="71"/>
  <c r="U20" i="71" s="1"/>
  <c r="V14" i="42"/>
  <c r="T20" i="72"/>
  <c r="V47" i="68"/>
  <c r="V50" i="68" s="1"/>
  <c r="W37" i="68"/>
  <c r="W47" i="68" s="1"/>
  <c r="T21" i="71"/>
  <c r="T9" i="45"/>
  <c r="T10" i="45" s="1"/>
  <c r="W9" i="42"/>
  <c r="U110" i="72"/>
  <c r="U109" i="72"/>
  <c r="S25" i="71"/>
  <c r="U7" i="45"/>
  <c r="U8" i="45" s="1"/>
  <c r="V14" i="71"/>
  <c r="T123" i="72"/>
  <c r="V17" i="42"/>
  <c r="V43" i="69" l="1"/>
  <c r="V44" i="69" s="1"/>
  <c r="V46" i="69" s="1"/>
  <c r="V45" i="69"/>
  <c r="V19" i="71"/>
  <c r="V20" i="71" s="1"/>
  <c r="V13" i="46"/>
  <c r="V19" i="46" s="1"/>
  <c r="V20" i="46" s="1"/>
  <c r="V21" i="46" s="1"/>
  <c r="W21" i="46" s="1"/>
  <c r="W6" i="78"/>
  <c r="W26" i="78" s="1"/>
  <c r="V26" i="78"/>
  <c r="V27" i="78" s="1"/>
  <c r="W27" i="78" s="1"/>
  <c r="W28" i="78" s="1"/>
  <c r="U114" i="72"/>
  <c r="W16" i="42"/>
  <c r="C16" i="42" s="1"/>
  <c r="V7" i="78"/>
  <c r="W7" i="78" s="1"/>
  <c r="W8" i="78" s="1"/>
  <c r="W50" i="68"/>
  <c r="W13" i="42"/>
  <c r="C14" i="42"/>
  <c r="W40" i="68"/>
  <c r="U22" i="71"/>
  <c r="U23" i="71" s="1"/>
  <c r="C9" i="42"/>
  <c r="W6" i="42"/>
  <c r="C6" i="42" s="1"/>
  <c r="U17" i="71"/>
  <c r="U24" i="71" s="1"/>
  <c r="U26" i="71" s="1"/>
  <c r="U27" i="71" s="1"/>
  <c r="U17" i="46"/>
  <c r="W19" i="71"/>
  <c r="W20" i="71" s="1"/>
  <c r="W13" i="46"/>
  <c r="W19" i="46" s="1"/>
  <c r="W20" i="46" s="1"/>
  <c r="V54" i="68"/>
  <c r="V55" i="68"/>
  <c r="U11" i="45"/>
  <c r="U9" i="45"/>
  <c r="U10" i="45" s="1"/>
  <c r="T25" i="71"/>
  <c r="T11" i="45"/>
  <c r="U21" i="71"/>
  <c r="V9" i="45"/>
  <c r="V10" i="45" s="1"/>
  <c r="V11" i="45"/>
  <c r="C17" i="42"/>
  <c r="T114" i="72"/>
  <c r="V16" i="42"/>
  <c r="V13" i="42" s="1"/>
  <c r="W31" i="69"/>
  <c r="W35" i="69"/>
  <c r="W39" i="69" s="1"/>
  <c r="W7" i="71" l="1"/>
  <c r="C7" i="71" s="1"/>
  <c r="W7" i="46"/>
  <c r="C7" i="46" s="1"/>
  <c r="U25" i="71"/>
  <c r="U12" i="45"/>
  <c r="U13" i="45" s="1"/>
  <c r="C13" i="42"/>
  <c r="V22" i="71"/>
  <c r="V23" i="71" s="1"/>
  <c r="W23" i="71" s="1"/>
  <c r="V24" i="71"/>
  <c r="V26" i="71" s="1"/>
  <c r="V27" i="71" s="1"/>
  <c r="W27" i="71" s="1"/>
  <c r="W44" i="69"/>
  <c r="W46" i="69" s="1"/>
  <c r="W22" i="71"/>
  <c r="W24" i="71"/>
  <c r="W26" i="71" s="1"/>
  <c r="V12" i="45"/>
  <c r="V13" i="45" s="1"/>
  <c r="V56" i="68"/>
  <c r="V57" i="68" s="1"/>
  <c r="V21" i="71"/>
  <c r="W21" i="71" s="1"/>
  <c r="W55" i="68"/>
  <c r="W54" i="68"/>
  <c r="V17" i="46"/>
  <c r="V17" i="71"/>
  <c r="W43" i="69"/>
  <c r="W45" i="69"/>
  <c r="W17" i="46"/>
  <c r="W17" i="71"/>
  <c r="T12" i="45"/>
  <c r="T13" i="45" s="1"/>
  <c r="T14" i="45" s="1"/>
  <c r="U14" i="45" s="1"/>
  <c r="V14" i="45" l="1"/>
  <c r="V25" i="71"/>
  <c r="W25" i="71" s="1"/>
  <c r="W56" i="68"/>
  <c r="W57" i="68" s="1"/>
</calcChain>
</file>

<file path=xl/sharedStrings.xml><?xml version="1.0" encoding="utf-8"?>
<sst xmlns="http://schemas.openxmlformats.org/spreadsheetml/2006/main" count="1820" uniqueCount="871">
  <si>
    <t>序号</t>
  </si>
  <si>
    <t>单位</t>
  </si>
  <si>
    <t>备注</t>
  </si>
  <si>
    <t>一</t>
  </si>
  <si>
    <t>施工图审查费</t>
  </si>
  <si>
    <t>预备费</t>
  </si>
  <si>
    <t>项目</t>
  </si>
  <si>
    <t>总成本费用</t>
  </si>
  <si>
    <t>所得税</t>
  </si>
  <si>
    <t>累计未分配利润</t>
  </si>
  <si>
    <t>现金流入</t>
  </si>
  <si>
    <t>现金流出</t>
  </si>
  <si>
    <t>项目名称</t>
  </si>
  <si>
    <t>单价(元）</t>
    <phoneticPr fontId="4" type="noConversion"/>
  </si>
  <si>
    <t>投资额（万元）</t>
    <phoneticPr fontId="4" type="noConversion"/>
  </si>
  <si>
    <t>建安工程费</t>
    <phoneticPr fontId="4" type="noConversion"/>
  </si>
  <si>
    <t>㎡</t>
  </si>
  <si>
    <t>工程建设其他费</t>
  </si>
  <si>
    <t>计算公式</t>
  </si>
  <si>
    <t>依据</t>
  </si>
  <si>
    <t>建设单位管理费</t>
  </si>
  <si>
    <t>财建[2016]504号</t>
  </si>
  <si>
    <t>建设单位临时设施费</t>
  </si>
  <si>
    <t>建安费*1%</t>
  </si>
  <si>
    <t>建标[2007]164号</t>
  </si>
  <si>
    <t>工程监理费</t>
  </si>
  <si>
    <t>发改价格[2007]670号</t>
  </si>
  <si>
    <t>工程设计费</t>
  </si>
  <si>
    <t>深价规[2009]号</t>
  </si>
  <si>
    <t>工程勘察费</t>
  </si>
  <si>
    <t>工程设计费*30%</t>
  </si>
  <si>
    <t>计价格[2002]10号文</t>
  </si>
  <si>
    <t>(设计费+勘察费）*6.5%</t>
  </si>
  <si>
    <t>粤建设函[2004]353号</t>
  </si>
  <si>
    <t>工程造价咨询费</t>
  </si>
  <si>
    <t>工程概算编制费</t>
  </si>
  <si>
    <t>粤价函[2011]742号文</t>
  </si>
  <si>
    <t>工程预算编制费</t>
  </si>
  <si>
    <t>工程结算编制费</t>
  </si>
  <si>
    <t>工程保险费</t>
  </si>
  <si>
    <t>建安费*0.1%</t>
  </si>
  <si>
    <t>深建价[2013]57号</t>
  </si>
  <si>
    <t>施工安全监督费</t>
  </si>
  <si>
    <t>深府[2004]159号文</t>
  </si>
  <si>
    <t>前期咨询费</t>
  </si>
  <si>
    <t>计价格(1999)1283号</t>
  </si>
  <si>
    <t>计价格[2002]1980号文</t>
  </si>
  <si>
    <t>建设环境影响咨询费</t>
  </si>
  <si>
    <t>23.5+(51-23.5)/80000*(建安费-20000)</t>
  </si>
  <si>
    <t>深发改[2016]1066号</t>
  </si>
  <si>
    <t>工程交易服务费</t>
  </si>
  <si>
    <t>计价格[2002]125号文</t>
  </si>
  <si>
    <t>竣工图编制费</t>
  </si>
  <si>
    <t>工程设计费*8%</t>
  </si>
  <si>
    <t>粤价（2002）370号文</t>
  </si>
  <si>
    <t>水土保持服务费</t>
  </si>
  <si>
    <t>深水保【2017】362号</t>
  </si>
  <si>
    <t>建设期</t>
  </si>
  <si>
    <t>总成本费用</t>
    <phoneticPr fontId="7" type="noConversion"/>
  </si>
  <si>
    <t>运营期</t>
    <phoneticPr fontId="7" type="noConversion"/>
  </si>
  <si>
    <t>利润总额</t>
  </si>
  <si>
    <t>应纳税所得额</t>
  </si>
  <si>
    <t>所得税（25%）</t>
  </si>
  <si>
    <t>净利润</t>
  </si>
  <si>
    <t>盈余公积（10%）</t>
  </si>
  <si>
    <t>未分配利润</t>
  </si>
  <si>
    <t>现金流入合计</t>
  </si>
  <si>
    <t>现金流出合计</t>
  </si>
  <si>
    <t>净现金流量</t>
  </si>
  <si>
    <t>累计净现金流量</t>
  </si>
  <si>
    <t>所得税前净现金流量</t>
  </si>
  <si>
    <t>所得税前累计净现金流量</t>
  </si>
  <si>
    <t>所得税后</t>
  </si>
  <si>
    <t>所得税前</t>
  </si>
  <si>
    <t>财政补贴</t>
    <phoneticPr fontId="7" type="noConversion"/>
  </si>
  <si>
    <t>第N年</t>
    <phoneticPr fontId="7" type="noConversion"/>
  </si>
  <si>
    <t>合计</t>
    <phoneticPr fontId="7" type="noConversion"/>
  </si>
  <si>
    <t>银行贷款/利率</t>
    <phoneticPr fontId="10" type="noConversion"/>
  </si>
  <si>
    <t>年初借款本金</t>
    <phoneticPr fontId="10" type="noConversion"/>
  </si>
  <si>
    <t>本年借款</t>
    <phoneticPr fontId="10" type="noConversion"/>
  </si>
  <si>
    <t>本年应计利息</t>
    <phoneticPr fontId="10" type="noConversion"/>
  </si>
  <si>
    <t>本年还本付息（现金流出）</t>
    <phoneticPr fontId="10" type="noConversion"/>
  </si>
  <si>
    <t>1.4.1</t>
    <phoneticPr fontId="10" type="noConversion"/>
  </si>
  <si>
    <t>本年付息（财务费）</t>
    <phoneticPr fontId="10" type="noConversion"/>
  </si>
  <si>
    <t>1.4.2</t>
    <phoneticPr fontId="10" type="noConversion"/>
  </si>
  <si>
    <t>本年还本</t>
    <phoneticPr fontId="10" type="noConversion"/>
  </si>
  <si>
    <t>年末借款本金</t>
    <phoneticPr fontId="10" type="noConversion"/>
  </si>
  <si>
    <t>还本付息表</t>
    <phoneticPr fontId="7" type="noConversion"/>
  </si>
  <si>
    <t>营业收入</t>
    <phoneticPr fontId="7" type="noConversion"/>
  </si>
  <si>
    <t>财政补贴收入</t>
    <phoneticPr fontId="7" type="noConversion"/>
  </si>
  <si>
    <t>总投资</t>
    <phoneticPr fontId="7" type="noConversion"/>
  </si>
  <si>
    <t>序号</t>
    <phoneticPr fontId="7" type="noConversion"/>
  </si>
  <si>
    <t>地上部分主体建安</t>
    <phoneticPr fontId="7" type="noConversion"/>
  </si>
  <si>
    <t>地上部分精装修</t>
    <phoneticPr fontId="7" type="noConversion"/>
  </si>
  <si>
    <t>地下部分主体建安</t>
    <phoneticPr fontId="7" type="noConversion"/>
  </si>
  <si>
    <t>按5%考虑</t>
    <phoneticPr fontId="4" type="noConversion"/>
  </si>
  <si>
    <t>总投资估算表</t>
    <phoneticPr fontId="7" type="noConversion"/>
  </si>
  <si>
    <t>一</t>
    <phoneticPr fontId="7" type="noConversion"/>
  </si>
  <si>
    <t>年份</t>
    <phoneticPr fontId="7" type="noConversion"/>
  </si>
  <si>
    <t>建设期</t>
    <phoneticPr fontId="7" type="noConversion"/>
  </si>
  <si>
    <t>阶段</t>
    <phoneticPr fontId="7" type="noConversion"/>
  </si>
  <si>
    <t>合计</t>
    <phoneticPr fontId="7" type="noConversion"/>
  </si>
  <si>
    <t>固定资产折旧费用估算表</t>
    <phoneticPr fontId="7" type="noConversion"/>
  </si>
  <si>
    <t>房屋、建筑物</t>
    <phoneticPr fontId="7" type="noConversion"/>
  </si>
  <si>
    <t>原值</t>
    <phoneticPr fontId="7" type="noConversion"/>
  </si>
  <si>
    <t>本年折旧费</t>
    <phoneticPr fontId="7" type="noConversion"/>
  </si>
  <si>
    <t>净值</t>
    <phoneticPr fontId="7" type="noConversion"/>
  </si>
  <si>
    <t>残值回收</t>
    <phoneticPr fontId="7" type="noConversion"/>
  </si>
  <si>
    <t>无形资产摊销费用估算表</t>
    <phoneticPr fontId="7" type="noConversion"/>
  </si>
  <si>
    <t>本年摊销费</t>
    <phoneticPr fontId="7" type="noConversion"/>
  </si>
  <si>
    <t>第N年</t>
    <phoneticPr fontId="7" type="noConversion"/>
  </si>
  <si>
    <t>利润表</t>
    <phoneticPr fontId="7" type="noConversion"/>
  </si>
  <si>
    <t>回收资产余值</t>
    <phoneticPr fontId="7" type="noConversion"/>
  </si>
  <si>
    <t>经营期</t>
    <phoneticPr fontId="7" type="noConversion"/>
  </si>
  <si>
    <t>保险机构</t>
    <phoneticPr fontId="7" type="noConversion"/>
  </si>
  <si>
    <t>信托公司</t>
    <phoneticPr fontId="7" type="noConversion"/>
  </si>
  <si>
    <t>消费金融</t>
    <phoneticPr fontId="7" type="noConversion"/>
  </si>
  <si>
    <t>小额贷款</t>
    <phoneticPr fontId="7" type="noConversion"/>
  </si>
  <si>
    <t>证券公司</t>
    <phoneticPr fontId="7" type="noConversion"/>
  </si>
  <si>
    <t>基金管理公司</t>
    <phoneticPr fontId="7" type="noConversion"/>
  </si>
  <si>
    <t>AMC（金融资产管理）</t>
    <phoneticPr fontId="7" type="noConversion"/>
  </si>
  <si>
    <t>第三方支付</t>
    <phoneticPr fontId="7" type="noConversion"/>
  </si>
  <si>
    <t>期货公司</t>
    <phoneticPr fontId="7" type="noConversion"/>
  </si>
  <si>
    <t>商业保理公司</t>
    <phoneticPr fontId="7" type="noConversion"/>
  </si>
  <si>
    <t>证监会</t>
    <phoneticPr fontId="7" type="noConversion"/>
  </si>
  <si>
    <t>主要业务</t>
    <phoneticPr fontId="7" type="noConversion"/>
  </si>
  <si>
    <t>存款、贷款、外汇、其他</t>
    <phoneticPr fontId="7" type="noConversion"/>
  </si>
  <si>
    <t>各类信托业务、投资基金业务</t>
    <phoneticPr fontId="7" type="noConversion"/>
  </si>
  <si>
    <t>各类保险企业</t>
    <phoneticPr fontId="7" type="noConversion"/>
  </si>
  <si>
    <t>金融租赁/融资租赁公司</t>
    <phoneticPr fontId="7" type="noConversion"/>
  </si>
  <si>
    <t>融资租赁业务</t>
    <phoneticPr fontId="7" type="noConversion"/>
  </si>
  <si>
    <t>以小额分散为原则，提供依消费为目的的贷款</t>
    <phoneticPr fontId="7" type="noConversion"/>
  </si>
  <si>
    <t>专门处理金融机构的不良资产</t>
    <phoneticPr fontId="7" type="noConversion"/>
  </si>
  <si>
    <t>无抵押贷款，抵押贷款和质押贷款等</t>
    <phoneticPr fontId="7" type="noConversion"/>
  </si>
  <si>
    <t>期货交易</t>
    <phoneticPr fontId="7" type="noConversion"/>
  </si>
  <si>
    <t>证券承销与保荐、经纪、自营、直投、证券资产管理和融资融券业务</t>
    <phoneticPr fontId="7" type="noConversion"/>
  </si>
  <si>
    <t>对基金的募集、基金份额的申购和赎回、基金财产的投资、收益分配等基金运作活动进行管理</t>
    <phoneticPr fontId="7" type="noConversion"/>
  </si>
  <si>
    <t>融资、信用风险管理、应收账款管理和催收服务。</t>
    <phoneticPr fontId="7" type="noConversion"/>
  </si>
  <si>
    <t>融资性担保</t>
    <phoneticPr fontId="7" type="noConversion"/>
  </si>
  <si>
    <t>贷款、票据承兑，贸易融资，项目融资，信用证、诉讼保全、隐约担保、相关中介业务，自有资金投资</t>
    <phoneticPr fontId="7" type="noConversion"/>
  </si>
  <si>
    <t>网联支付、预付卡发行与受理、银行卡收单</t>
    <phoneticPr fontId="7" type="noConversion"/>
  </si>
  <si>
    <t>原监管部门</t>
    <phoneticPr fontId="7" type="noConversion"/>
  </si>
  <si>
    <t>银监会</t>
    <phoneticPr fontId="7" type="noConversion"/>
  </si>
  <si>
    <t>银行</t>
    <phoneticPr fontId="7" type="noConversion"/>
  </si>
  <si>
    <t>保监会</t>
    <phoneticPr fontId="7" type="noConversion"/>
  </si>
  <si>
    <t>银监会/商务部</t>
    <phoneticPr fontId="7" type="noConversion"/>
  </si>
  <si>
    <t>省级金融办</t>
    <phoneticPr fontId="7" type="noConversion"/>
  </si>
  <si>
    <t>商务部</t>
    <phoneticPr fontId="7" type="noConversion"/>
  </si>
  <si>
    <t>省级金融办</t>
    <phoneticPr fontId="7" type="noConversion"/>
  </si>
  <si>
    <t>央行</t>
    <phoneticPr fontId="7" type="noConversion"/>
  </si>
  <si>
    <t>经纪业务</t>
    <phoneticPr fontId="7" type="noConversion"/>
  </si>
  <si>
    <r>
      <t xml:space="preserve"> </t>
    </r>
    <r>
      <rPr>
        <sz val="10"/>
        <rFont val="宋体"/>
        <family val="3"/>
        <charset val="134"/>
      </rPr>
      <t>投行业务</t>
    </r>
    <r>
      <rPr>
        <sz val="10"/>
        <rFont val="Arial"/>
        <family val="2"/>
      </rPr>
      <t xml:space="preserve"> </t>
    </r>
    <r>
      <rPr>
        <sz val="10"/>
        <rFont val="宋体"/>
        <family val="3"/>
        <charset val="134"/>
      </rPr>
      <t/>
    </r>
    <phoneticPr fontId="7" type="noConversion"/>
  </si>
  <si>
    <r>
      <rPr>
        <sz val="10"/>
        <rFont val="宋体"/>
        <family val="3"/>
        <charset val="134"/>
      </rPr>
      <t>资管业务</t>
    </r>
    <r>
      <rPr>
        <sz val="10"/>
        <rFont val="Arial"/>
        <family val="2"/>
      </rPr>
      <t xml:space="preserve"> </t>
    </r>
    <r>
      <rPr>
        <sz val="10"/>
        <rFont val="宋体"/>
        <family val="3"/>
        <charset val="134"/>
      </rPr>
      <t/>
    </r>
    <phoneticPr fontId="7" type="noConversion"/>
  </si>
  <si>
    <r>
      <rPr>
        <sz val="10"/>
        <rFont val="宋体"/>
        <family val="3"/>
        <charset val="134"/>
      </rPr>
      <t>信用业务</t>
    </r>
    <r>
      <rPr>
        <sz val="10"/>
        <rFont val="Arial"/>
        <family val="2"/>
      </rPr>
      <t xml:space="preserve"> </t>
    </r>
    <phoneticPr fontId="7" type="noConversion"/>
  </si>
  <si>
    <t>自营投资业务</t>
    <phoneticPr fontId="7" type="noConversion"/>
  </si>
  <si>
    <t>投资者通过证券公司开立股票账户进行交易，产生的手续费佣金收入</t>
    <phoneticPr fontId="7" type="noConversion"/>
  </si>
  <si>
    <r>
      <rPr>
        <sz val="10"/>
        <rFont val="宋体"/>
        <family val="3"/>
        <charset val="134"/>
      </rPr>
      <t>加杠杆赚息差</t>
    </r>
    <r>
      <rPr>
        <sz val="10"/>
        <rFont val="Arial"/>
        <family val="2"/>
      </rPr>
      <t>-</t>
    </r>
    <r>
      <rPr>
        <sz val="10"/>
        <rFont val="宋体"/>
        <family val="3"/>
        <charset val="134"/>
      </rPr>
      <t>收取利息收入</t>
    </r>
    <phoneticPr fontId="7" type="noConversion"/>
  </si>
  <si>
    <t>证券公司代理客户管理资产，券商赚取管理费和超额收益</t>
    <phoneticPr fontId="7" type="noConversion"/>
  </si>
  <si>
    <t>根据投资规模及收益率，赚取投资收益</t>
    <phoneticPr fontId="7" type="noConversion"/>
  </si>
  <si>
    <t>轻资产业务</t>
    <phoneticPr fontId="7" type="noConversion"/>
  </si>
  <si>
    <t>重资本业务</t>
    <phoneticPr fontId="7" type="noConversion"/>
  </si>
  <si>
    <t>投资业务</t>
    <phoneticPr fontId="7" type="noConversion"/>
  </si>
  <si>
    <t>成交金额、佣金率</t>
    <phoneticPr fontId="7" type="noConversion"/>
  </si>
  <si>
    <t>集合资管规模、定向和专项资管规模</t>
    <phoneticPr fontId="7" type="noConversion"/>
  </si>
  <si>
    <t>融资融券余额、股票质押式回购余额、计息负债成本</t>
    <phoneticPr fontId="7" type="noConversion"/>
  </si>
  <si>
    <t>股、债市场指数表现、自营投资规模</t>
    <phoneticPr fontId="7" type="noConversion"/>
  </si>
  <si>
    <t>股权融资金额、债券融资金额、并购重组规模、费率</t>
    <phoneticPr fontId="7" type="noConversion"/>
  </si>
  <si>
    <t>盈利模式</t>
    <phoneticPr fontId="7" type="noConversion"/>
  </si>
  <si>
    <t>业务类型</t>
    <phoneticPr fontId="7" type="noConversion"/>
  </si>
  <si>
    <t>关注指标</t>
    <phoneticPr fontId="7" type="noConversion"/>
  </si>
  <si>
    <t>券商</t>
    <phoneticPr fontId="7" type="noConversion"/>
  </si>
  <si>
    <t xml:space="preserve">子行业 </t>
    <phoneticPr fontId="7" type="noConversion"/>
  </si>
  <si>
    <t xml:space="preserve">资本占用型业务 </t>
    <phoneticPr fontId="7" type="noConversion"/>
  </si>
  <si>
    <t>非资本占用型业务</t>
    <phoneticPr fontId="7" type="noConversion"/>
  </si>
  <si>
    <t xml:space="preserve">银行 </t>
    <phoneticPr fontId="7" type="noConversion"/>
  </si>
  <si>
    <r>
      <rPr>
        <sz val="10"/>
        <rFont val="宋体"/>
        <family val="3"/>
        <charset val="134"/>
      </rPr>
      <t>对公业务、零售业务、金融市场业务</t>
    </r>
    <r>
      <rPr>
        <sz val="10"/>
        <rFont val="Arial"/>
        <family val="2"/>
      </rPr>
      <t/>
    </r>
    <phoneticPr fontId="7" type="noConversion"/>
  </si>
  <si>
    <r>
      <t xml:space="preserve"> </t>
    </r>
    <r>
      <rPr>
        <sz val="10"/>
        <rFont val="宋体"/>
        <family val="3"/>
        <charset val="134"/>
      </rPr>
      <t>投行、资管</t>
    </r>
    <phoneticPr fontId="7" type="noConversion"/>
  </si>
  <si>
    <t xml:space="preserve">保险 </t>
    <phoneticPr fontId="7" type="noConversion"/>
  </si>
  <si>
    <r>
      <rPr>
        <sz val="10"/>
        <rFont val="宋体"/>
        <family val="3"/>
        <charset val="134"/>
      </rPr>
      <t>产险业务、寿险业务</t>
    </r>
    <r>
      <rPr>
        <sz val="10"/>
        <rFont val="Arial"/>
        <family val="2"/>
      </rPr>
      <t xml:space="preserve"> </t>
    </r>
    <phoneticPr fontId="7" type="noConversion"/>
  </si>
  <si>
    <t>无</t>
    <phoneticPr fontId="7" type="noConversion"/>
  </si>
  <si>
    <t>券商</t>
    <phoneticPr fontId="7" type="noConversion"/>
  </si>
  <si>
    <r>
      <t xml:space="preserve"> </t>
    </r>
    <r>
      <rPr>
        <sz val="10"/>
        <rFont val="宋体"/>
        <family val="3"/>
        <charset val="134"/>
      </rPr>
      <t>自营业务、信用业务</t>
    </r>
    <r>
      <rPr>
        <sz val="10"/>
        <rFont val="Arial"/>
        <family val="2"/>
      </rPr>
      <t/>
    </r>
    <phoneticPr fontId="7" type="noConversion"/>
  </si>
  <si>
    <t>净息差=（净利息收入+交易收入）/生息资产期初期末平均余额</t>
    <phoneticPr fontId="7" type="noConversion"/>
  </si>
  <si>
    <t>交易收入=投资收益、公允价值变动损益、汇兑损益等</t>
    <phoneticPr fontId="7" type="noConversion"/>
  </si>
  <si>
    <t>净利息收入=利息收入和利息支出之差</t>
    <phoneticPr fontId="7" type="noConversion"/>
  </si>
  <si>
    <t>扣除营业成本和风险成本后的净收益率=净息差*（1-成本收入比）-信用成本</t>
    <phoneticPr fontId="7" type="noConversion"/>
  </si>
  <si>
    <t>成本收入比=营业成本除以营业收入</t>
    <phoneticPr fontId="7" type="noConversion"/>
  </si>
  <si>
    <r>
      <rPr>
        <sz val="10"/>
        <rFont val="宋体"/>
        <family val="3"/>
        <charset val="134"/>
      </rPr>
      <t>信用成本</t>
    </r>
    <r>
      <rPr>
        <sz val="10"/>
        <rFont val="Arial"/>
        <family val="2"/>
      </rPr>
      <t>=</t>
    </r>
    <r>
      <rPr>
        <sz val="10"/>
        <rFont val="宋体"/>
        <family val="3"/>
        <charset val="134"/>
      </rPr>
      <t>当期资产减值损失除以本条线生息资产期初期末平均余额</t>
    </r>
    <phoneticPr fontId="7" type="noConversion"/>
  </si>
  <si>
    <t>对投行业务中的承销业务，采用承销业务收入除以当期承销规
模，对资管业务，用资管业务收入除以管理资产期初期末平均余额。</t>
    <phoneticPr fontId="7" type="noConversion"/>
  </si>
  <si>
    <t>按收益率从高到低排序</t>
    <phoneticPr fontId="7" type="noConversion"/>
  </si>
  <si>
    <r>
      <rPr>
        <sz val="10"/>
        <rFont val="宋体"/>
        <family val="3"/>
        <charset val="134"/>
      </rPr>
      <t>保险</t>
    </r>
    <r>
      <rPr>
        <sz val="10"/>
        <rFont val="Arial"/>
        <family val="2"/>
      </rPr>
      <t>&gt;</t>
    </r>
    <r>
      <rPr>
        <sz val="10"/>
        <rFont val="宋体"/>
        <family val="3"/>
        <charset val="134"/>
      </rPr>
      <t>券商</t>
    </r>
    <r>
      <rPr>
        <sz val="10"/>
        <rFont val="Arial"/>
        <family val="2"/>
      </rPr>
      <t>&gt;</t>
    </r>
    <r>
      <rPr>
        <sz val="10"/>
        <rFont val="宋体"/>
        <family val="3"/>
        <charset val="134"/>
      </rPr>
      <t>银行</t>
    </r>
    <phoneticPr fontId="7" type="noConversion"/>
  </si>
  <si>
    <t>各业务条线的收益</t>
    <phoneticPr fontId="7" type="noConversion"/>
  </si>
  <si>
    <r>
      <rPr>
        <sz val="10"/>
        <rFont val="宋体"/>
        <family val="3"/>
        <charset val="134"/>
      </rPr>
      <t>产险</t>
    </r>
    <r>
      <rPr>
        <sz val="10"/>
        <rFont val="Arial"/>
        <family val="2"/>
      </rPr>
      <t>&gt;</t>
    </r>
    <r>
      <rPr>
        <sz val="10"/>
        <rFont val="宋体"/>
        <family val="3"/>
        <charset val="134"/>
      </rPr>
      <t>寿险</t>
    </r>
    <r>
      <rPr>
        <sz val="10"/>
        <rFont val="Arial"/>
        <family val="2"/>
      </rPr>
      <t>&gt;</t>
    </r>
    <r>
      <rPr>
        <sz val="10"/>
        <rFont val="宋体"/>
        <family val="3"/>
        <charset val="134"/>
      </rPr>
      <t>券商自营</t>
    </r>
    <r>
      <rPr>
        <sz val="10"/>
        <rFont val="Arial"/>
        <family val="2"/>
      </rPr>
      <t xml:space="preserve">&gt;
</t>
    </r>
    <r>
      <rPr>
        <sz val="10"/>
        <rFont val="宋体"/>
        <family val="3"/>
        <charset val="134"/>
      </rPr>
      <t>券商信用业务</t>
    </r>
    <r>
      <rPr>
        <sz val="10"/>
        <rFont val="Arial"/>
        <family val="2"/>
      </rPr>
      <t>&gt;</t>
    </r>
    <r>
      <rPr>
        <sz val="10"/>
        <rFont val="宋体"/>
        <family val="3"/>
        <charset val="134"/>
      </rPr>
      <t>银行零售业务</t>
    </r>
    <r>
      <rPr>
        <sz val="10"/>
        <rFont val="Arial"/>
        <family val="2"/>
      </rPr>
      <t>&gt;</t>
    </r>
    <r>
      <rPr>
        <sz val="10"/>
        <rFont val="宋体"/>
        <family val="3"/>
        <charset val="134"/>
      </rPr>
      <t>银行对公业务</t>
    </r>
    <r>
      <rPr>
        <sz val="10"/>
        <rFont val="Arial"/>
        <family val="2"/>
      </rPr>
      <t>&gt;</t>
    </r>
    <r>
      <rPr>
        <sz val="10"/>
        <rFont val="宋体"/>
        <family val="3"/>
        <charset val="134"/>
      </rPr>
      <t>银行金融市场业务</t>
    </r>
    <phoneticPr fontId="7" type="noConversion"/>
  </si>
  <si>
    <t>保险</t>
    <phoneticPr fontId="7" type="noConversion"/>
  </si>
  <si>
    <t>净收益率测算模型</t>
    <phoneticPr fontId="7" type="noConversion"/>
  </si>
  <si>
    <t>银行</t>
    <phoneticPr fontId="7" type="noConversion"/>
  </si>
  <si>
    <t>平均资本利润率</t>
    <phoneticPr fontId="7" type="noConversion"/>
  </si>
  <si>
    <t>收益率</t>
    <phoneticPr fontId="7" type="noConversion"/>
  </si>
  <si>
    <r>
      <t>2020</t>
    </r>
    <r>
      <rPr>
        <sz val="10"/>
        <rFont val="宋体"/>
        <family val="3"/>
        <charset val="134"/>
      </rPr>
      <t>年全国商业银行累计实现净利润</t>
    </r>
    <r>
      <rPr>
        <sz val="10"/>
        <rFont val="Arial"/>
        <family val="2"/>
      </rPr>
      <t>1.94</t>
    </r>
    <r>
      <rPr>
        <sz val="10"/>
        <rFont val="宋体"/>
        <family val="3"/>
        <charset val="134"/>
      </rPr>
      <t>万亿，同比下降</t>
    </r>
    <r>
      <rPr>
        <sz val="10"/>
        <rFont val="Arial"/>
        <family val="2"/>
      </rPr>
      <t>2.7%</t>
    </r>
    <r>
      <rPr>
        <sz val="10"/>
        <rFont val="宋体"/>
        <family val="3"/>
        <charset val="134"/>
      </rPr>
      <t>，降幅较前三季度收窄</t>
    </r>
    <r>
      <rPr>
        <sz val="10"/>
        <rFont val="Arial"/>
        <family val="2"/>
      </rPr>
      <t>5.6</t>
    </r>
    <r>
      <rPr>
        <sz val="10"/>
        <rFont val="宋体"/>
        <family val="3"/>
        <charset val="134"/>
      </rPr>
      <t>个百分点。平均资本利润率为</t>
    </r>
    <r>
      <rPr>
        <sz val="10"/>
        <rFont val="Arial"/>
        <family val="2"/>
      </rPr>
      <t>9.48%</t>
    </r>
    <r>
      <rPr>
        <sz val="10"/>
        <rFont val="宋体"/>
        <family val="3"/>
        <charset val="134"/>
      </rPr>
      <t>，平均资产利润率为</t>
    </r>
    <r>
      <rPr>
        <sz val="10"/>
        <rFont val="Arial"/>
        <family val="2"/>
      </rPr>
      <t>0.77%</t>
    </r>
    <r>
      <rPr>
        <sz val="10"/>
        <rFont val="宋体"/>
        <family val="3"/>
        <charset val="134"/>
      </rPr>
      <t>，较上季末下降</t>
    </r>
    <r>
      <rPr>
        <sz val="10"/>
        <rFont val="Arial"/>
        <family val="2"/>
      </rPr>
      <t>0.04</t>
    </r>
    <r>
      <rPr>
        <sz val="10"/>
        <rFont val="宋体"/>
        <family val="3"/>
        <charset val="134"/>
      </rPr>
      <t>个百分点。</t>
    </r>
    <phoneticPr fontId="7" type="noConversion"/>
  </si>
  <si>
    <t>投资资金来源可以分为自有资金、保险准备金以及其他资金。</t>
    <phoneticPr fontId="7" type="noConversion"/>
  </si>
  <si>
    <t>平均资产利润率</t>
    <phoneticPr fontId="7" type="noConversion"/>
  </si>
  <si>
    <t xml:space="preserve">小额贷款 </t>
  </si>
  <si>
    <t xml:space="preserve">融资租赁 </t>
  </si>
  <si>
    <t xml:space="preserve">融资性担保 </t>
  </si>
  <si>
    <t>商业保理</t>
  </si>
  <si>
    <t>机构数量（家）</t>
    <phoneticPr fontId="7" type="noConversion"/>
  </si>
  <si>
    <t>融资余额（亿）</t>
    <phoneticPr fontId="7" type="noConversion"/>
  </si>
  <si>
    <t>平均</t>
    <phoneticPr fontId="7" type="noConversion"/>
  </si>
  <si>
    <r>
      <rPr>
        <sz val="10"/>
        <rFont val="宋体"/>
        <family val="3"/>
        <charset val="134"/>
      </rPr>
      <t>净资产收益率（ROE）在</t>
    </r>
    <r>
      <rPr>
        <sz val="10"/>
        <rFont val="Arial"/>
        <family val="2"/>
      </rPr>
      <t>8%-15%</t>
    </r>
    <r>
      <rPr>
        <sz val="10"/>
        <rFont val="宋体"/>
        <family val="3"/>
        <charset val="134"/>
      </rPr>
      <t>之间；</t>
    </r>
    <phoneticPr fontId="7" type="noConversion"/>
  </si>
  <si>
    <r>
      <t xml:space="preserve">ROE </t>
    </r>
    <r>
      <rPr>
        <sz val="10"/>
        <rFont val="宋体"/>
        <family val="3"/>
        <charset val="134"/>
      </rPr>
      <t>大多在</t>
    </r>
    <r>
      <rPr>
        <sz val="10"/>
        <rFont val="Arial"/>
        <family val="2"/>
      </rPr>
      <t xml:space="preserve"> 14%</t>
    </r>
    <r>
      <rPr>
        <sz val="10"/>
        <rFont val="宋体"/>
        <family val="3"/>
        <charset val="134"/>
      </rPr>
      <t>左右</t>
    </r>
    <phoneticPr fontId="7" type="noConversion"/>
  </si>
  <si>
    <r>
      <rPr>
        <sz val="10"/>
        <rFont val="宋体"/>
        <family val="3"/>
        <charset val="134"/>
      </rPr>
      <t>平均</t>
    </r>
    <r>
      <rPr>
        <sz val="10"/>
        <rFont val="Arial"/>
        <family val="2"/>
      </rPr>
      <t xml:space="preserve"> ROE </t>
    </r>
    <r>
      <rPr>
        <sz val="10"/>
        <rFont val="宋体"/>
        <family val="3"/>
        <charset val="134"/>
      </rPr>
      <t>在</t>
    </r>
    <r>
      <rPr>
        <sz val="10"/>
        <rFont val="Arial"/>
        <family val="2"/>
      </rPr>
      <t xml:space="preserve"> 6.3%</t>
    </r>
    <r>
      <rPr>
        <sz val="10"/>
        <rFont val="宋体"/>
        <family val="3"/>
        <charset val="134"/>
      </rPr>
      <t>左右</t>
    </r>
    <phoneticPr fontId="7" type="noConversion"/>
  </si>
  <si>
    <r>
      <t>资金成本一般为</t>
    </r>
    <r>
      <rPr>
        <sz val="10"/>
        <rFont val="Arial"/>
        <family val="2"/>
      </rPr>
      <t>4%-12%</t>
    </r>
    <r>
      <rPr>
        <sz val="10"/>
        <rFont val="宋体"/>
        <family val="3"/>
        <charset val="134"/>
      </rPr>
      <t>，融资服务年利率一般为</t>
    </r>
    <r>
      <rPr>
        <sz val="10"/>
        <rFont val="Arial"/>
        <family val="2"/>
      </rPr>
      <t>10%-20%</t>
    </r>
    <r>
      <rPr>
        <sz val="10"/>
        <rFont val="宋体"/>
        <family val="3"/>
        <charset val="134"/>
      </rPr>
      <t>。利差构成了保理公司的主要利润来源，</t>
    </r>
    <r>
      <rPr>
        <sz val="10"/>
        <rFont val="Arial"/>
        <family val="2"/>
      </rPr>
      <t xml:space="preserve">ROA </t>
    </r>
    <r>
      <rPr>
        <sz val="10"/>
        <rFont val="宋体"/>
        <family val="3"/>
        <charset val="134"/>
      </rPr>
      <t>波动范围从</t>
    </r>
    <r>
      <rPr>
        <sz val="10"/>
        <rFont val="Arial"/>
        <family val="2"/>
      </rPr>
      <t xml:space="preserve"> 1-7%</t>
    </r>
    <r>
      <rPr>
        <sz val="10"/>
        <rFont val="宋体"/>
        <family val="3"/>
        <charset val="134"/>
      </rPr>
      <t>，而</t>
    </r>
    <r>
      <rPr>
        <sz val="10"/>
        <rFont val="Arial"/>
        <family val="2"/>
      </rPr>
      <t xml:space="preserve"> ROE </t>
    </r>
    <r>
      <rPr>
        <sz val="10"/>
        <rFont val="宋体"/>
        <family val="3"/>
        <charset val="134"/>
      </rPr>
      <t>由于杠杆倍数不同差别更大。</t>
    </r>
    <phoneticPr fontId="7" type="noConversion"/>
  </si>
  <si>
    <t>公募基金分红的免税政策</t>
    <phoneticPr fontId="7" type="noConversion"/>
  </si>
  <si>
    <t>银行自己买信用债、政策性银行债是不免税的，银行把钱投给某只公募基金，通过基金来买，来自基金的收益可以免税。而实际上，底层收益还是来自原本不免税的债</t>
    <phoneticPr fontId="7" type="noConversion"/>
  </si>
  <si>
    <t>收益率</t>
    <phoneticPr fontId="7" type="noConversion"/>
  </si>
  <si>
    <t>信托</t>
    <phoneticPr fontId="7" type="noConversion"/>
  </si>
  <si>
    <r>
      <rPr>
        <sz val="10"/>
        <rFont val="宋体"/>
        <family val="3"/>
        <charset val="134"/>
      </rPr>
      <t>平均净资产收益率为</t>
    </r>
    <r>
      <rPr>
        <sz val="10"/>
        <rFont val="Arial"/>
        <family val="2"/>
      </rPr>
      <t>7.02%</t>
    </r>
    <phoneticPr fontId="7" type="noConversion"/>
  </si>
  <si>
    <r>
      <t>2020</t>
    </r>
    <r>
      <rPr>
        <sz val="10"/>
        <rFont val="宋体"/>
        <family val="3"/>
        <charset val="134"/>
      </rPr>
      <t>年度，</t>
    </r>
    <r>
      <rPr>
        <sz val="10"/>
        <rFont val="Arial"/>
        <family val="2"/>
      </rPr>
      <t>59</t>
    </r>
    <r>
      <rPr>
        <sz val="10"/>
        <rFont val="宋体"/>
        <family val="3"/>
        <charset val="134"/>
      </rPr>
      <t>家信托公司中，有</t>
    </r>
    <r>
      <rPr>
        <sz val="10"/>
        <rFont val="Arial"/>
        <family val="2"/>
      </rPr>
      <t>36</t>
    </r>
    <r>
      <rPr>
        <sz val="10"/>
        <rFont val="宋体"/>
        <family val="3"/>
        <charset val="134"/>
      </rPr>
      <t>家公司实现营业收入增长，营业收入中位数为</t>
    </r>
    <r>
      <rPr>
        <sz val="10"/>
        <rFont val="Arial"/>
        <family val="2"/>
      </rPr>
      <t>13.94</t>
    </r>
    <r>
      <rPr>
        <sz val="10"/>
        <rFont val="宋体"/>
        <family val="3"/>
        <charset val="134"/>
      </rPr>
      <t>亿元，较上年同期提升</t>
    </r>
    <r>
      <rPr>
        <sz val="10"/>
        <rFont val="Arial"/>
        <family val="2"/>
      </rPr>
      <t>8.7%</t>
    </r>
    <phoneticPr fontId="7" type="noConversion"/>
  </si>
  <si>
    <r>
      <rPr>
        <sz val="10"/>
        <rFont val="宋体"/>
        <family val="3"/>
        <charset val="134"/>
      </rPr>
      <t>截至</t>
    </r>
    <r>
      <rPr>
        <sz val="10"/>
        <rFont val="Arial"/>
        <family val="2"/>
      </rPr>
      <t>2019</t>
    </r>
    <r>
      <rPr>
        <sz val="10"/>
        <rFont val="宋体"/>
        <family val="3"/>
        <charset val="134"/>
      </rPr>
      <t>年末，全行业</t>
    </r>
    <r>
      <rPr>
        <sz val="10"/>
        <rFont val="Arial"/>
        <family val="2"/>
      </rPr>
      <t>68</t>
    </r>
    <r>
      <rPr>
        <sz val="10"/>
        <rFont val="宋体"/>
        <family val="3"/>
        <charset val="134"/>
      </rPr>
      <t>家信托公司受托资产规模为</t>
    </r>
    <r>
      <rPr>
        <sz val="10"/>
        <rFont val="Arial"/>
        <family val="2"/>
      </rPr>
      <t>21.6</t>
    </r>
    <r>
      <rPr>
        <sz val="10"/>
        <rFont val="宋体"/>
        <family val="3"/>
        <charset val="134"/>
      </rPr>
      <t>万亿元，较</t>
    </r>
    <r>
      <rPr>
        <sz val="10"/>
        <rFont val="Arial"/>
        <family val="2"/>
      </rPr>
      <t>2018</t>
    </r>
    <r>
      <rPr>
        <sz val="10"/>
        <rFont val="宋体"/>
        <family val="3"/>
        <charset val="134"/>
      </rPr>
      <t>年年末同比下降</t>
    </r>
    <r>
      <rPr>
        <sz val="10"/>
        <rFont val="Arial"/>
        <family val="2"/>
      </rPr>
      <t>4.83%</t>
    </r>
    <r>
      <rPr>
        <sz val="10"/>
        <rFont val="宋体"/>
        <family val="3"/>
        <charset val="134"/>
      </rPr>
      <t>。信托公司固有资产规模</t>
    </r>
    <r>
      <rPr>
        <sz val="10"/>
        <rFont val="Arial"/>
        <family val="2"/>
      </rPr>
      <t>7677.12</t>
    </r>
    <r>
      <rPr>
        <sz val="10"/>
        <rFont val="宋体"/>
        <family val="3"/>
        <charset val="134"/>
      </rPr>
      <t>亿元，同比增长</t>
    </r>
    <r>
      <rPr>
        <sz val="10"/>
        <rFont val="Arial"/>
        <family val="2"/>
      </rPr>
      <t>6.73%</t>
    </r>
    <r>
      <rPr>
        <sz val="10"/>
        <rFont val="宋体"/>
        <family val="3"/>
        <charset val="134"/>
      </rPr>
      <t>。信托行业净利润</t>
    </r>
    <r>
      <rPr>
        <sz val="10"/>
        <rFont val="Arial"/>
        <family val="2"/>
      </rPr>
      <t>561.17</t>
    </r>
    <r>
      <rPr>
        <sz val="10"/>
        <rFont val="宋体"/>
        <family val="3"/>
        <charset val="134"/>
      </rPr>
      <t>亿元。全行业实际缴纳税款</t>
    </r>
    <r>
      <rPr>
        <sz val="10"/>
        <rFont val="Arial"/>
        <family val="2"/>
      </rPr>
      <t>640.11</t>
    </r>
    <r>
      <rPr>
        <sz val="10"/>
        <rFont val="宋体"/>
        <family val="3"/>
        <charset val="134"/>
      </rPr>
      <t>亿元，同比增长</t>
    </r>
    <r>
      <rPr>
        <sz val="10"/>
        <rFont val="Arial"/>
        <family val="2"/>
      </rPr>
      <t>34.63%</t>
    </r>
    <r>
      <rPr>
        <sz val="10"/>
        <rFont val="宋体"/>
        <family val="3"/>
        <charset val="134"/>
      </rPr>
      <t>。</t>
    </r>
    <phoneticPr fontId="7" type="noConversion"/>
  </si>
  <si>
    <r>
      <rPr>
        <sz val="10"/>
        <rFont val="宋体"/>
        <family val="3"/>
        <charset val="134"/>
      </rPr>
      <t>假设股权投资基金的年化收益率为</t>
    </r>
    <r>
      <rPr>
        <sz val="10"/>
        <rFont val="Arial"/>
        <family val="2"/>
      </rPr>
      <t>10</t>
    </r>
    <r>
      <rPr>
        <sz val="10"/>
        <rFont val="宋体"/>
        <family val="3"/>
        <charset val="134"/>
      </rPr>
      <t>％，管理费为</t>
    </r>
    <r>
      <rPr>
        <sz val="10"/>
        <rFont val="Arial"/>
        <family val="2"/>
      </rPr>
      <t>2</t>
    </r>
    <r>
      <rPr>
        <sz val="10"/>
        <rFont val="宋体"/>
        <family val="3"/>
        <charset val="134"/>
      </rPr>
      <t>％的投资金额，投资人生活费用扣除为</t>
    </r>
    <r>
      <rPr>
        <sz val="10"/>
        <rFont val="Arial"/>
        <family val="2"/>
      </rPr>
      <t>6</t>
    </r>
    <r>
      <rPr>
        <sz val="10"/>
        <rFont val="宋体"/>
        <family val="3"/>
        <charset val="134"/>
      </rPr>
      <t>万元</t>
    </r>
    <r>
      <rPr>
        <sz val="10"/>
        <rFont val="Arial"/>
        <family val="2"/>
      </rPr>
      <t>/</t>
    </r>
    <r>
      <rPr>
        <sz val="10"/>
        <rFont val="宋体"/>
        <family val="3"/>
        <charset val="134"/>
      </rPr>
      <t>年，在不考虑项目亏损以及其他费用（除管理费、个人生活费外）的情况下，税负计算如下：</t>
    </r>
    <phoneticPr fontId="7" type="noConversion"/>
  </si>
  <si>
    <t>T+0</t>
    <phoneticPr fontId="7" type="noConversion"/>
  </si>
  <si>
    <t>T+1</t>
  </si>
  <si>
    <t>T+2</t>
  </si>
  <si>
    <t>T+3</t>
  </si>
  <si>
    <t>T+4</t>
  </si>
  <si>
    <t>T+5</t>
  </si>
  <si>
    <t>T+6</t>
  </si>
  <si>
    <t>T+7</t>
  </si>
  <si>
    <t>T+8</t>
  </si>
  <si>
    <t>T+9</t>
  </si>
  <si>
    <t>T+10</t>
  </si>
  <si>
    <t>T+11</t>
  </si>
  <si>
    <t>T+12</t>
  </si>
  <si>
    <t>T+13</t>
  </si>
  <si>
    <t>T+14</t>
  </si>
  <si>
    <t>T+15</t>
  </si>
  <si>
    <t>T+16</t>
  </si>
  <si>
    <t>T+17</t>
  </si>
  <si>
    <t>T+18</t>
  </si>
  <si>
    <t>T+19</t>
  </si>
  <si>
    <t>T+20</t>
  </si>
  <si>
    <t>经纪业务</t>
    <phoneticPr fontId="7" type="noConversion"/>
  </si>
  <si>
    <r>
      <t xml:space="preserve"> </t>
    </r>
    <r>
      <rPr>
        <sz val="10"/>
        <rFont val="宋体"/>
        <family val="3"/>
        <charset val="134"/>
      </rPr>
      <t>投行业务</t>
    </r>
    <r>
      <rPr>
        <sz val="10"/>
        <rFont val="Arial"/>
        <family val="2"/>
      </rPr>
      <t xml:space="preserve"> </t>
    </r>
    <r>
      <rPr>
        <sz val="10"/>
        <rFont val="宋体"/>
        <family val="3"/>
        <charset val="134"/>
      </rPr>
      <t/>
    </r>
    <phoneticPr fontId="7" type="noConversion"/>
  </si>
  <si>
    <r>
      <rPr>
        <sz val="10"/>
        <rFont val="宋体"/>
        <family val="3"/>
        <charset val="134"/>
      </rPr>
      <t>资管业务</t>
    </r>
    <r>
      <rPr>
        <sz val="10"/>
        <rFont val="Arial"/>
        <family val="2"/>
      </rPr>
      <t xml:space="preserve"> </t>
    </r>
    <r>
      <rPr>
        <sz val="10"/>
        <rFont val="宋体"/>
        <family val="3"/>
        <charset val="134"/>
      </rPr>
      <t/>
    </r>
    <phoneticPr fontId="7" type="noConversion"/>
  </si>
  <si>
    <r>
      <rPr>
        <sz val="10"/>
        <rFont val="宋体"/>
        <family val="3"/>
        <charset val="134"/>
      </rPr>
      <t>信用业务</t>
    </r>
    <r>
      <rPr>
        <sz val="10"/>
        <rFont val="Arial"/>
        <family val="2"/>
      </rPr>
      <t xml:space="preserve"> </t>
    </r>
    <phoneticPr fontId="7" type="noConversion"/>
  </si>
  <si>
    <t>自营投资业务</t>
    <phoneticPr fontId="7" type="noConversion"/>
  </si>
  <si>
    <t>营业收入增速</t>
    <phoneticPr fontId="7" type="noConversion"/>
  </si>
  <si>
    <t>项目资本金现金流量表</t>
    <phoneticPr fontId="7" type="noConversion"/>
  </si>
  <si>
    <t>经营成本</t>
    <phoneticPr fontId="7" type="noConversion"/>
  </si>
  <si>
    <t>建设投资</t>
    <phoneticPr fontId="7" type="noConversion"/>
  </si>
  <si>
    <t>流动资金投资</t>
    <phoneticPr fontId="7" type="noConversion"/>
  </si>
  <si>
    <t>税金及附加</t>
    <phoneticPr fontId="7" type="noConversion"/>
  </si>
  <si>
    <t>回收流动资金</t>
    <phoneticPr fontId="10" type="noConversion"/>
  </si>
  <si>
    <t>其他现金流入</t>
    <phoneticPr fontId="7" type="noConversion"/>
  </si>
  <si>
    <t>其他现金流出</t>
    <phoneticPr fontId="7" type="noConversion"/>
  </si>
  <si>
    <t>经营成本</t>
    <phoneticPr fontId="7" type="noConversion"/>
  </si>
  <si>
    <t>营业收入</t>
    <phoneticPr fontId="7" type="noConversion"/>
  </si>
  <si>
    <t>补贴收入</t>
    <phoneticPr fontId="7" type="noConversion"/>
  </si>
  <si>
    <t>回收固定资产余值</t>
    <phoneticPr fontId="7" type="noConversion"/>
  </si>
  <si>
    <t>回收流动资金</t>
    <phoneticPr fontId="7" type="noConversion"/>
  </si>
  <si>
    <t>调整所得税</t>
    <phoneticPr fontId="7" type="noConversion"/>
  </si>
  <si>
    <t>调整土地增值税</t>
    <phoneticPr fontId="7" type="noConversion"/>
  </si>
  <si>
    <t>土地增值税</t>
    <phoneticPr fontId="7" type="noConversion"/>
  </si>
  <si>
    <t>借款本金偿还</t>
    <phoneticPr fontId="7" type="noConversion"/>
  </si>
  <si>
    <t>借款利息支付</t>
    <phoneticPr fontId="10" type="noConversion"/>
  </si>
  <si>
    <t>所得税前净现金流量折现值</t>
  </si>
  <si>
    <t>所得税前累计净现金流量折现值</t>
  </si>
  <si>
    <t>折现率</t>
  </si>
  <si>
    <t>财务内部收益率:</t>
  </si>
  <si>
    <t>财务净现值:</t>
  </si>
  <si>
    <t xml:space="preserve"> </t>
  </si>
  <si>
    <t>动态投资回收期:</t>
  </si>
  <si>
    <t>静态投资回收期:</t>
  </si>
  <si>
    <t>投资者通过证券公司开立股票账户进行交易，产生的手续费佣金收入</t>
    <phoneticPr fontId="7" type="noConversion"/>
  </si>
  <si>
    <t>轻资产业务</t>
    <phoneticPr fontId="7" type="noConversion"/>
  </si>
  <si>
    <t>对公业务</t>
    <phoneticPr fontId="7" type="noConversion"/>
  </si>
  <si>
    <t>零售业务</t>
    <phoneticPr fontId="7" type="noConversion"/>
  </si>
  <si>
    <t>金融市场业务</t>
    <phoneticPr fontId="7" type="noConversion"/>
  </si>
  <si>
    <t>一、银行营收预测模型</t>
    <phoneticPr fontId="7" type="noConversion"/>
  </si>
  <si>
    <t>三、保险营收预测模型</t>
    <phoneticPr fontId="7" type="noConversion"/>
  </si>
  <si>
    <t>四、信托营收预测模型</t>
    <phoneticPr fontId="7" type="noConversion"/>
  </si>
  <si>
    <t>五、基金营收预测模型</t>
    <phoneticPr fontId="7" type="noConversion"/>
  </si>
  <si>
    <t>六、金融租赁和融资租赁营收预测模型</t>
    <phoneticPr fontId="7" type="noConversion"/>
  </si>
  <si>
    <t>七、期货公司营收预测模型</t>
    <phoneticPr fontId="7" type="noConversion"/>
  </si>
  <si>
    <t>八、商业保理营收预测模型</t>
    <phoneticPr fontId="7" type="noConversion"/>
  </si>
  <si>
    <t>九、小额贷款营收预测模型</t>
    <phoneticPr fontId="7" type="noConversion"/>
  </si>
  <si>
    <t>十、融资性担保营收预测模型</t>
    <phoneticPr fontId="7" type="noConversion"/>
  </si>
  <si>
    <t>单位网点营收（亿元/年）</t>
    <phoneticPr fontId="7" type="noConversion"/>
  </si>
  <si>
    <t>单位网点面积</t>
    <phoneticPr fontId="7" type="noConversion"/>
  </si>
  <si>
    <t>单位网联员工数量</t>
    <phoneticPr fontId="7" type="noConversion"/>
  </si>
  <si>
    <t>办公场地装修（租赁）</t>
    <phoneticPr fontId="7" type="noConversion"/>
  </si>
  <si>
    <t>办公场地建设（自建）</t>
    <phoneticPr fontId="7" type="noConversion"/>
  </si>
  <si>
    <t>十一、金融信息服务机构营收预测模型</t>
    <phoneticPr fontId="7" type="noConversion"/>
  </si>
  <si>
    <t>网点数量</t>
    <phoneticPr fontId="7" type="noConversion"/>
  </si>
  <si>
    <t>配套设施及其他</t>
    <phoneticPr fontId="7" type="noConversion"/>
  </si>
  <si>
    <t>机房建设</t>
    <phoneticPr fontId="7" type="noConversion"/>
  </si>
  <si>
    <t>设备购置费</t>
    <phoneticPr fontId="7" type="noConversion"/>
  </si>
  <si>
    <t>二</t>
    <phoneticPr fontId="7" type="noConversion"/>
  </si>
  <si>
    <t>三</t>
    <phoneticPr fontId="7" type="noConversion"/>
  </si>
  <si>
    <t>四</t>
    <phoneticPr fontId="4" type="noConversion"/>
  </si>
  <si>
    <t>五</t>
    <phoneticPr fontId="7" type="noConversion"/>
  </si>
  <si>
    <t>六</t>
    <phoneticPr fontId="4" type="noConversion"/>
  </si>
  <si>
    <t>硬件设备投入</t>
    <phoneticPr fontId="7" type="noConversion"/>
  </si>
  <si>
    <t>软件设备投入</t>
    <phoneticPr fontId="7" type="noConversion"/>
  </si>
  <si>
    <t>土地购置费</t>
    <phoneticPr fontId="7" type="noConversion"/>
  </si>
  <si>
    <t>平均规模</t>
    <phoneticPr fontId="7" type="noConversion"/>
  </si>
  <si>
    <t>占比</t>
    <phoneticPr fontId="7" type="noConversion"/>
  </si>
  <si>
    <t>合计</t>
    <phoneticPr fontId="7" type="noConversion"/>
  </si>
  <si>
    <t>其他</t>
    <phoneticPr fontId="7" type="noConversion"/>
  </si>
  <si>
    <t>其他（国际业务、投行业务）</t>
    <phoneticPr fontId="7" type="noConversion"/>
  </si>
  <si>
    <t>广东</t>
  </si>
  <si>
    <t>北京</t>
  </si>
  <si>
    <t>天津</t>
  </si>
  <si>
    <t>上海</t>
  </si>
  <si>
    <t>经济地区</t>
  </si>
  <si>
    <t>省/市</t>
  </si>
  <si>
    <t>2018(基期)</t>
  </si>
  <si>
    <t>增长</t>
  </si>
  <si>
    <t>增长(基期)</t>
  </si>
  <si>
    <t>东北地区</t>
  </si>
  <si>
    <t>黑龙江</t>
  </si>
  <si>
    <t>吉林</t>
  </si>
  <si>
    <t>辽宁</t>
  </si>
  <si>
    <t>东部地区</t>
  </si>
  <si>
    <t>福建</t>
  </si>
  <si>
    <t>海南</t>
  </si>
  <si>
    <t>河北</t>
  </si>
  <si>
    <t>江苏</t>
  </si>
  <si>
    <t>山东</t>
  </si>
  <si>
    <t>浙江</t>
  </si>
  <si>
    <t>西部地区</t>
  </si>
  <si>
    <t>甘肃</t>
  </si>
  <si>
    <t>广西</t>
  </si>
  <si>
    <t>贵州</t>
  </si>
  <si>
    <t>内蒙古</t>
  </si>
  <si>
    <t>宁夏</t>
  </si>
  <si>
    <t>青海</t>
  </si>
  <si>
    <t>陕西</t>
  </si>
  <si>
    <t>四川</t>
  </si>
  <si>
    <t>西藏</t>
  </si>
  <si>
    <t>新疆</t>
  </si>
  <si>
    <t>云南</t>
  </si>
  <si>
    <t>重庆</t>
  </si>
  <si>
    <t>中部地区</t>
  </si>
  <si>
    <t>安徽</t>
  </si>
  <si>
    <t>河南</t>
  </si>
  <si>
    <t>湖北</t>
  </si>
  <si>
    <t>湖南</t>
  </si>
  <si>
    <t>江西</t>
  </si>
  <si>
    <t>山西</t>
  </si>
  <si>
    <t>合计</t>
  </si>
  <si>
    <r>
      <t>2020</t>
    </r>
    <r>
      <rPr>
        <sz val="10"/>
        <color rgb="FF121212"/>
        <rFont val="宋体"/>
        <family val="3"/>
        <charset val="134"/>
      </rPr>
      <t>年</t>
    </r>
    <r>
      <rPr>
        <sz val="10"/>
        <color rgb="FF121212"/>
        <rFont val="Arial"/>
        <family val="2"/>
      </rPr>
      <t>GDP</t>
    </r>
    <phoneticPr fontId="7" type="noConversion"/>
  </si>
  <si>
    <t>每网点对应GDP</t>
    <phoneticPr fontId="7" type="noConversion"/>
  </si>
  <si>
    <t>城市GDP</t>
    <phoneticPr fontId="7" type="noConversion"/>
  </si>
  <si>
    <t>城市建成区面积</t>
    <phoneticPr fontId="7" type="noConversion"/>
  </si>
  <si>
    <t>网点数</t>
    <phoneticPr fontId="7" type="noConversion"/>
  </si>
  <si>
    <t>区域预计创造GDP</t>
    <phoneticPr fontId="7" type="noConversion"/>
  </si>
  <si>
    <t>区域每网点数对应GDP（取其所在省份均值）</t>
    <phoneticPr fontId="7" type="noConversion"/>
  </si>
  <si>
    <t>2020年全部上市银行共拥有总资产218.26万亿元、120.89万亿元、148.93万亿元，实现营业收入55651亿元和净利润17358亿元。</t>
    <phoneticPr fontId="7" type="noConversion"/>
  </si>
  <si>
    <r>
      <rPr>
        <sz val="10"/>
        <rFont val="Arial"/>
        <family val="2"/>
      </rPr>
      <t>2020</t>
    </r>
    <r>
      <rPr>
        <sz val="10"/>
        <rFont val="宋体"/>
        <family val="3"/>
        <charset val="134"/>
      </rPr>
      <t>年银行营业收入</t>
    </r>
    <phoneticPr fontId="7" type="noConversion"/>
  </si>
  <si>
    <t>营业收入（亿元）</t>
    <phoneticPr fontId="7" type="noConversion"/>
  </si>
  <si>
    <t>区域调整系数</t>
    <phoneticPr fontId="7" type="noConversion"/>
  </si>
  <si>
    <t>满产规模</t>
    <phoneticPr fontId="7" type="noConversion"/>
  </si>
  <si>
    <t>合计</t>
    <phoneticPr fontId="7" type="noConversion"/>
  </si>
  <si>
    <t>各业务达产率</t>
    <phoneticPr fontId="7" type="noConversion"/>
  </si>
  <si>
    <t>营业收入</t>
    <phoneticPr fontId="7" type="noConversion"/>
  </si>
  <si>
    <t>招商银行</t>
    <phoneticPr fontId="7" type="noConversion"/>
  </si>
  <si>
    <t>税金及附加</t>
    <phoneticPr fontId="7" type="noConversion"/>
  </si>
  <si>
    <t>所得税</t>
    <phoneticPr fontId="7" type="noConversion"/>
  </si>
  <si>
    <t>净利润</t>
    <phoneticPr fontId="7" type="noConversion"/>
  </si>
  <si>
    <t>税前利润</t>
    <phoneticPr fontId="7" type="noConversion"/>
  </si>
  <si>
    <t>兴业银行</t>
    <phoneticPr fontId="7" type="noConversion"/>
  </si>
  <si>
    <t>平安银行</t>
    <phoneticPr fontId="7" type="noConversion"/>
  </si>
  <si>
    <t>平均</t>
    <phoneticPr fontId="7" type="noConversion"/>
  </si>
  <si>
    <t>资产</t>
    <phoneticPr fontId="7" type="noConversion"/>
  </si>
  <si>
    <t>ROE</t>
    <phoneticPr fontId="7" type="noConversion"/>
  </si>
  <si>
    <t>百万元人民币</t>
    <phoneticPr fontId="7" type="noConversion"/>
  </si>
  <si>
    <t>净资产</t>
    <phoneticPr fontId="7" type="noConversion"/>
  </si>
  <si>
    <t>单位网点营业收入（亿元）</t>
    <phoneticPr fontId="7" type="noConversion"/>
  </si>
  <si>
    <t>所得税</t>
    <phoneticPr fontId="7" type="noConversion"/>
  </si>
  <si>
    <t>税金及附加</t>
    <phoneticPr fontId="7" type="noConversion"/>
  </si>
  <si>
    <t>利润总额</t>
    <phoneticPr fontId="7" type="noConversion"/>
  </si>
  <si>
    <t>营业成本</t>
    <phoneticPr fontId="7" type="noConversion"/>
  </si>
  <si>
    <t>营业成本占收入占比</t>
    <phoneticPr fontId="7" type="noConversion"/>
  </si>
  <si>
    <t>复合增长率</t>
    <phoneticPr fontId="7" type="noConversion"/>
  </si>
  <si>
    <t>成本</t>
    <phoneticPr fontId="7" type="noConversion"/>
  </si>
  <si>
    <t>毛利率</t>
    <phoneticPr fontId="7" type="noConversion"/>
  </si>
  <si>
    <t>营业收入（万元）</t>
    <phoneticPr fontId="7" type="noConversion"/>
  </si>
  <si>
    <t>成本占比</t>
    <phoneticPr fontId="7" type="noConversion"/>
  </si>
  <si>
    <t>营业收入增速</t>
    <phoneticPr fontId="7" type="noConversion"/>
  </si>
  <si>
    <t>营业部数量</t>
    <phoneticPr fontId="7" type="noConversion"/>
  </si>
  <si>
    <t>单位营业部营收（亿元）</t>
    <phoneticPr fontId="7" type="noConversion"/>
  </si>
  <si>
    <t>全国</t>
    <phoneticPr fontId="7" type="noConversion"/>
  </si>
  <si>
    <t>中国银河</t>
    <phoneticPr fontId="7" type="noConversion"/>
  </si>
  <si>
    <t>方正证券</t>
    <phoneticPr fontId="7" type="noConversion"/>
  </si>
  <si>
    <t>国泰君安</t>
    <phoneticPr fontId="7" type="noConversion"/>
  </si>
  <si>
    <t>安信证券</t>
    <phoneticPr fontId="7" type="noConversion"/>
  </si>
  <si>
    <t>中信证券</t>
    <phoneticPr fontId="7" type="noConversion"/>
  </si>
  <si>
    <t>合计</t>
    <phoneticPr fontId="7" type="noConversion"/>
  </si>
  <si>
    <r>
      <rPr>
        <sz val="10"/>
        <rFont val="宋体"/>
        <family val="3"/>
        <charset val="134"/>
      </rPr>
      <t>一家营业部设立的费用大概需要</t>
    </r>
    <r>
      <rPr>
        <sz val="10"/>
        <rFont val="Arial"/>
        <family val="2"/>
      </rPr>
      <t>600</t>
    </r>
    <r>
      <rPr>
        <sz val="10"/>
        <rFont val="宋体"/>
        <family val="3"/>
        <charset val="134"/>
      </rPr>
      <t>万元至</t>
    </r>
    <r>
      <rPr>
        <sz val="10"/>
        <rFont val="Arial"/>
        <family val="2"/>
      </rPr>
      <t>1000</t>
    </r>
    <r>
      <rPr>
        <sz val="10"/>
        <rFont val="宋体"/>
        <family val="3"/>
        <charset val="134"/>
      </rPr>
      <t>万元</t>
    </r>
    <phoneticPr fontId="7" type="noConversion"/>
  </si>
  <si>
    <t>地区</t>
  </si>
  <si>
    <t>人口数</t>
  </si>
  <si>
    <t>北　京</t>
  </si>
  <si>
    <t>天　津</t>
  </si>
  <si>
    <t>河　北</t>
  </si>
  <si>
    <t>山　西</t>
  </si>
  <si>
    <t>辽　宁</t>
  </si>
  <si>
    <t>吉　林</t>
  </si>
  <si>
    <t>上　海</t>
  </si>
  <si>
    <t>江　苏</t>
  </si>
  <si>
    <t>浙　江</t>
  </si>
  <si>
    <t>安　徽</t>
  </si>
  <si>
    <t>福　建</t>
  </si>
  <si>
    <t>江　西</t>
  </si>
  <si>
    <t>山　东</t>
  </si>
  <si>
    <t>河　南</t>
  </si>
  <si>
    <t>湖　北</t>
  </si>
  <si>
    <t>湖　南</t>
  </si>
  <si>
    <t>广　东</t>
  </si>
  <si>
    <t>广　西</t>
  </si>
  <si>
    <t>海　南</t>
  </si>
  <si>
    <t>重　庆</t>
  </si>
  <si>
    <t>四　川</t>
  </si>
  <si>
    <t>贵　州</t>
  </si>
  <si>
    <t>云　南</t>
  </si>
  <si>
    <t>西　藏</t>
  </si>
  <si>
    <t>陕　西</t>
  </si>
  <si>
    <t>甘　肃</t>
  </si>
  <si>
    <t>青　海</t>
  </si>
  <si>
    <t>宁　夏</t>
  </si>
  <si>
    <t>新　疆</t>
  </si>
  <si>
    <t>每网点覆盖人口（万人）</t>
    <phoneticPr fontId="7" type="noConversion"/>
  </si>
  <si>
    <t>全　国</t>
    <phoneticPr fontId="7" type="noConversion"/>
  </si>
  <si>
    <t>营业网点数</t>
    <phoneticPr fontId="7" type="noConversion"/>
  </si>
  <si>
    <t>保定市莲池区</t>
    <phoneticPr fontId="7" type="noConversion"/>
  </si>
  <si>
    <t>营业收入占比</t>
    <phoneticPr fontId="7" type="noConversion"/>
  </si>
  <si>
    <t>合计</t>
    <phoneticPr fontId="7" type="noConversion"/>
  </si>
  <si>
    <t>达产规模</t>
    <phoneticPr fontId="7" type="noConversion"/>
  </si>
  <si>
    <t>中国银河</t>
    <phoneticPr fontId="7" type="noConversion"/>
  </si>
  <si>
    <t>中信证券</t>
    <phoneticPr fontId="7" type="noConversion"/>
  </si>
  <si>
    <t>国泰君安</t>
    <phoneticPr fontId="7" type="noConversion"/>
  </si>
  <si>
    <t>万元</t>
    <phoneticPr fontId="7" type="noConversion"/>
  </si>
  <si>
    <t>营业成本</t>
    <phoneticPr fontId="7" type="noConversion"/>
  </si>
  <si>
    <t>税金及利润</t>
    <phoneticPr fontId="7" type="noConversion"/>
  </si>
  <si>
    <t>净利润</t>
    <phoneticPr fontId="7" type="noConversion"/>
  </si>
  <si>
    <t>税金及净利润</t>
    <phoneticPr fontId="7" type="noConversion"/>
  </si>
  <si>
    <t>区域调整系数</t>
    <phoneticPr fontId="7" type="noConversion"/>
  </si>
  <si>
    <t>税金及附加</t>
    <phoneticPr fontId="7" type="noConversion"/>
  </si>
  <si>
    <t>业务及管理费</t>
    <phoneticPr fontId="7" type="noConversion"/>
  </si>
  <si>
    <t>其他资产减值损失</t>
    <phoneticPr fontId="7" type="noConversion"/>
  </si>
  <si>
    <t>信用减值损失</t>
    <phoneticPr fontId="7" type="noConversion"/>
  </si>
  <si>
    <t>其他业务成本</t>
    <phoneticPr fontId="7" type="noConversion"/>
  </si>
  <si>
    <t>数量</t>
    <phoneticPr fontId="4" type="noConversion"/>
  </si>
  <si>
    <t>营业部容量</t>
    <phoneticPr fontId="7" type="noConversion"/>
  </si>
  <si>
    <t>土地使用权</t>
    <phoneticPr fontId="7" type="noConversion"/>
  </si>
  <si>
    <t>装修</t>
    <phoneticPr fontId="7" type="noConversion"/>
  </si>
  <si>
    <t>每个网点平均资产（亿元）</t>
    <phoneticPr fontId="7" type="noConversion"/>
  </si>
  <si>
    <t>七</t>
    <phoneticPr fontId="4" type="noConversion"/>
  </si>
  <si>
    <t>截至2020年12月31日，全国范围内共计有10543家证券营业部（不包括外资券商）。截至2020年年末，证券行业总资产8.78万亿元，净资产2.23万亿元，分别较上年末增长22.32%、14.02%。</t>
    <phoneticPr fontId="7" type="noConversion"/>
  </si>
  <si>
    <t>每家营业部平均资产</t>
    <phoneticPr fontId="7" type="noConversion"/>
  </si>
  <si>
    <t>银行名称</t>
    <phoneticPr fontId="7" type="noConversion"/>
  </si>
  <si>
    <t>营业网点</t>
    <phoneticPr fontId="7" type="noConversion"/>
  </si>
  <si>
    <t>面积</t>
    <phoneticPr fontId="7" type="noConversion"/>
  </si>
  <si>
    <t>人员</t>
    <phoneticPr fontId="7" type="noConversion"/>
  </si>
  <si>
    <t>长沙银行</t>
    <phoneticPr fontId="7" type="noConversion"/>
  </si>
  <si>
    <t>机器设备（万元）</t>
    <phoneticPr fontId="7" type="noConversion"/>
  </si>
  <si>
    <t>电子设备（万元）</t>
    <phoneticPr fontId="7" type="noConversion"/>
  </si>
  <si>
    <t>运输设备（万元）</t>
    <phoneticPr fontId="7" type="noConversion"/>
  </si>
  <si>
    <t>浙商银行</t>
    <phoneticPr fontId="7" type="noConversion"/>
  </si>
  <si>
    <t>其他设备（万元）</t>
    <phoneticPr fontId="7" type="noConversion"/>
  </si>
  <si>
    <t>上海银行</t>
    <phoneticPr fontId="7" type="noConversion"/>
  </si>
  <si>
    <t>软件资产（万元）</t>
    <phoneticPr fontId="7" type="noConversion"/>
  </si>
  <si>
    <t>齐鲁银行</t>
    <phoneticPr fontId="7" type="noConversion"/>
  </si>
  <si>
    <t>总资产（亿元）</t>
    <phoneticPr fontId="7" type="noConversion"/>
  </si>
  <si>
    <t>江苏银行</t>
    <phoneticPr fontId="7" type="noConversion"/>
  </si>
  <si>
    <t>广州银行</t>
    <phoneticPr fontId="7" type="noConversion"/>
  </si>
  <si>
    <t>营业收入（亿元）</t>
    <phoneticPr fontId="7" type="noConversion"/>
  </si>
  <si>
    <t>人均薪酬（万元）</t>
    <phoneticPr fontId="7" type="noConversion"/>
  </si>
  <si>
    <t>单位网点营收（亿元）</t>
    <phoneticPr fontId="7" type="noConversion"/>
  </si>
  <si>
    <t>单位网点人员（人）</t>
    <phoneticPr fontId="7" type="noConversion"/>
  </si>
  <si>
    <t>单位网点面积（m2）</t>
    <phoneticPr fontId="7" type="noConversion"/>
  </si>
  <si>
    <t>单位网点资产（亿元）</t>
    <phoneticPr fontId="7" type="noConversion"/>
  </si>
  <si>
    <t>单位网点机器设备投入</t>
    <phoneticPr fontId="7" type="noConversion"/>
  </si>
  <si>
    <t>单位网点电子设备投入</t>
    <phoneticPr fontId="7" type="noConversion"/>
  </si>
  <si>
    <t>单位网点运输设备投入</t>
    <phoneticPr fontId="7" type="noConversion"/>
  </si>
  <si>
    <t>单位网点软件投入</t>
    <phoneticPr fontId="7" type="noConversion"/>
  </si>
  <si>
    <t>总负债（亿元）</t>
    <phoneticPr fontId="7" type="noConversion"/>
  </si>
  <si>
    <t>净资产（亿元）</t>
    <phoneticPr fontId="7" type="noConversion"/>
  </si>
  <si>
    <t>单位网点净资产（亿元）</t>
    <phoneticPr fontId="7" type="noConversion"/>
  </si>
  <si>
    <t>东莞银行</t>
    <phoneticPr fontId="7" type="noConversion"/>
  </si>
  <si>
    <t>税金及附加（万元）</t>
    <phoneticPr fontId="7" type="noConversion"/>
  </si>
  <si>
    <t>税金及附加/营业收入</t>
    <phoneticPr fontId="7" type="noConversion"/>
  </si>
  <si>
    <t>所得税/利润总额</t>
    <phoneticPr fontId="7" type="noConversion"/>
  </si>
  <si>
    <t>成本收入比（业务及管理费/营业收入）</t>
    <phoneticPr fontId="7" type="noConversion"/>
  </si>
  <si>
    <t>业务及管理费（万元）</t>
    <phoneticPr fontId="7" type="noConversion"/>
  </si>
  <si>
    <t>营业利润/营业收入</t>
    <phoneticPr fontId="7" type="noConversion"/>
  </si>
  <si>
    <t>营业利润（万元）</t>
    <phoneticPr fontId="7" type="noConversion"/>
  </si>
  <si>
    <t>ROE</t>
    <phoneticPr fontId="7" type="noConversion"/>
  </si>
  <si>
    <t>所得税（万元）</t>
    <phoneticPr fontId="7" type="noConversion"/>
  </si>
  <si>
    <t>净利润（万元）</t>
    <phoneticPr fontId="7" type="noConversion"/>
  </si>
  <si>
    <t>合计</t>
    <phoneticPr fontId="7" type="noConversion"/>
  </si>
  <si>
    <t>单位网点流动资金（万元）</t>
    <phoneticPr fontId="7" type="noConversion"/>
  </si>
  <si>
    <t>公司名称</t>
    <phoneticPr fontId="7" type="noConversion"/>
  </si>
  <si>
    <t>拉卡拉</t>
    <phoneticPr fontId="7" type="noConversion"/>
  </si>
  <si>
    <t>奇瑞汽车金融</t>
    <phoneticPr fontId="7" type="noConversion"/>
  </si>
  <si>
    <t>利润总额（万元）</t>
    <phoneticPr fontId="7" type="noConversion"/>
  </si>
  <si>
    <t>江苏金融租赁</t>
    <phoneticPr fontId="7" type="noConversion"/>
  </si>
  <si>
    <t>第三方支付</t>
    <phoneticPr fontId="7" type="noConversion"/>
  </si>
  <si>
    <t>消费金融</t>
    <phoneticPr fontId="7" type="noConversion"/>
  </si>
  <si>
    <t>金融租赁</t>
    <phoneticPr fontId="7" type="noConversion"/>
  </si>
  <si>
    <t>二、非银金融营收预测模型</t>
    <phoneticPr fontId="7" type="noConversion"/>
  </si>
  <si>
    <t>非银金融</t>
    <phoneticPr fontId="7" type="noConversion"/>
  </si>
  <si>
    <t>第三方支付</t>
    <phoneticPr fontId="7" type="noConversion"/>
  </si>
  <si>
    <t>消费金融</t>
    <phoneticPr fontId="7" type="noConversion"/>
  </si>
  <si>
    <t>金融租赁</t>
    <phoneticPr fontId="7" type="noConversion"/>
  </si>
  <si>
    <t>营收合计（亿元）</t>
    <phoneticPr fontId="7" type="noConversion"/>
  </si>
  <si>
    <t>区域面积（万平方米）</t>
    <phoneticPr fontId="7" type="noConversion"/>
  </si>
  <si>
    <t>金融产业用地占比</t>
    <phoneticPr fontId="7" type="noConversion"/>
  </si>
  <si>
    <t>金融产业用地容积率</t>
    <phoneticPr fontId="7" type="noConversion"/>
  </si>
  <si>
    <t>金融产业面积（万平米）</t>
    <phoneticPr fontId="7" type="noConversion"/>
  </si>
  <si>
    <t>银行机构占比</t>
    <phoneticPr fontId="7" type="noConversion"/>
  </si>
  <si>
    <t>消费金融占比</t>
    <phoneticPr fontId="7" type="noConversion"/>
  </si>
  <si>
    <t>金融租赁占比</t>
    <phoneticPr fontId="7" type="noConversion"/>
  </si>
  <si>
    <t>金融信息服务占比</t>
    <phoneticPr fontId="7" type="noConversion"/>
  </si>
  <si>
    <t>第三方支付占比</t>
    <phoneticPr fontId="7" type="noConversion"/>
  </si>
  <si>
    <t>金融信息服务</t>
  </si>
  <si>
    <t>金融信息服务</t>
    <phoneticPr fontId="7" type="noConversion"/>
  </si>
  <si>
    <t>金融信息服务</t>
    <phoneticPr fontId="7" type="noConversion"/>
  </si>
  <si>
    <t>金融信息服务</t>
    <phoneticPr fontId="7" type="noConversion"/>
  </si>
  <si>
    <t>二</t>
    <phoneticPr fontId="7" type="noConversion"/>
  </si>
  <si>
    <t>税金及附加(万元)</t>
    <phoneticPr fontId="7" type="noConversion"/>
  </si>
  <si>
    <t>营业收入(亿元)</t>
    <phoneticPr fontId="7" type="noConversion"/>
  </si>
  <si>
    <t>第三方支付</t>
  </si>
  <si>
    <t>消费金融</t>
  </si>
  <si>
    <t>金融租赁</t>
  </si>
  <si>
    <t>营业收入及税金估算表</t>
    <phoneticPr fontId="7" type="noConversion"/>
  </si>
  <si>
    <t>软件</t>
    <phoneticPr fontId="7" type="noConversion"/>
  </si>
  <si>
    <t>机器设备</t>
    <phoneticPr fontId="7" type="noConversion"/>
  </si>
  <si>
    <t>电子设备</t>
    <phoneticPr fontId="7" type="noConversion"/>
  </si>
  <si>
    <t>运输设备</t>
    <phoneticPr fontId="7" type="noConversion"/>
  </si>
  <si>
    <t>1.2.1</t>
    <phoneticPr fontId="7" type="noConversion"/>
  </si>
  <si>
    <t>业务及管理费</t>
    <phoneticPr fontId="7" type="noConversion"/>
  </si>
  <si>
    <t>营业费用</t>
    <phoneticPr fontId="7" type="noConversion"/>
  </si>
  <si>
    <t>1.2.2</t>
    <phoneticPr fontId="7" type="noConversion"/>
  </si>
  <si>
    <t>折旧费</t>
    <phoneticPr fontId="7" type="noConversion"/>
  </si>
  <si>
    <t>摊销费</t>
    <phoneticPr fontId="7" type="noConversion"/>
  </si>
  <si>
    <t>银行机构面积（万平米）</t>
    <phoneticPr fontId="7" type="noConversion"/>
  </si>
  <si>
    <t>第三方支付面积（万平米）</t>
    <phoneticPr fontId="7" type="noConversion"/>
  </si>
  <si>
    <t>消费金融面积（万平米）</t>
    <phoneticPr fontId="7" type="noConversion"/>
  </si>
  <si>
    <t>金融租赁面积（万平米）</t>
    <phoneticPr fontId="7" type="noConversion"/>
  </si>
  <si>
    <t>金融信息服务面积（万平米）</t>
    <phoneticPr fontId="7" type="noConversion"/>
  </si>
  <si>
    <t>自建占比</t>
    <phoneticPr fontId="7" type="noConversion"/>
  </si>
  <si>
    <t>租赁占比</t>
    <phoneticPr fontId="7" type="noConversion"/>
  </si>
  <si>
    <t>自建面积</t>
    <phoneticPr fontId="7" type="noConversion"/>
  </si>
  <si>
    <t>租赁面积</t>
    <phoneticPr fontId="7" type="noConversion"/>
  </si>
  <si>
    <t>机器设备</t>
    <phoneticPr fontId="7" type="noConversion"/>
  </si>
  <si>
    <t>电子设备</t>
    <phoneticPr fontId="7" type="noConversion"/>
  </si>
  <si>
    <t>运输设备</t>
    <phoneticPr fontId="7" type="noConversion"/>
  </si>
  <si>
    <t>2.1.1</t>
    <phoneticPr fontId="7" type="noConversion"/>
  </si>
  <si>
    <t>2.1.2</t>
    <phoneticPr fontId="7" type="noConversion"/>
  </si>
  <si>
    <t>2.1.3</t>
    <phoneticPr fontId="7" type="noConversion"/>
  </si>
  <si>
    <t>人均面积（m2）</t>
    <phoneticPr fontId="7" type="noConversion"/>
  </si>
  <si>
    <t>银行机构就业人员（人）</t>
    <phoneticPr fontId="7" type="noConversion"/>
  </si>
  <si>
    <t>第三方支付就业人员（人）</t>
    <phoneticPr fontId="7" type="noConversion"/>
  </si>
  <si>
    <t>消费金融就业人员（人）</t>
    <phoneticPr fontId="7" type="noConversion"/>
  </si>
  <si>
    <t>金融租赁就业人员（人）</t>
    <phoneticPr fontId="7" type="noConversion"/>
  </si>
  <si>
    <t>金融信息服务就业人员（人）</t>
    <phoneticPr fontId="7" type="noConversion"/>
  </si>
  <si>
    <t>银行机构数量</t>
    <phoneticPr fontId="7" type="noConversion"/>
  </si>
  <si>
    <t>第三方支付数量</t>
    <phoneticPr fontId="7" type="noConversion"/>
  </si>
  <si>
    <t>消费金融数量</t>
    <phoneticPr fontId="7" type="noConversion"/>
  </si>
  <si>
    <t>金融租赁数量</t>
    <phoneticPr fontId="7" type="noConversion"/>
  </si>
  <si>
    <t>金融信息服务数量</t>
    <phoneticPr fontId="7" type="noConversion"/>
  </si>
  <si>
    <t>电子设备</t>
    <phoneticPr fontId="7" type="noConversion"/>
  </si>
  <si>
    <t>运输设备</t>
    <phoneticPr fontId="7" type="noConversion"/>
  </si>
  <si>
    <t>软件投入</t>
    <phoneticPr fontId="7" type="noConversion"/>
  </si>
  <si>
    <t>委托招标代理费</t>
    <phoneticPr fontId="7" type="noConversion"/>
  </si>
  <si>
    <t>流动资金</t>
    <phoneticPr fontId="7" type="noConversion"/>
  </si>
  <si>
    <t>楼面地价（元/m2）</t>
    <phoneticPr fontId="7" type="noConversion"/>
  </si>
  <si>
    <t>铺底流动资金</t>
    <phoneticPr fontId="7" type="noConversion"/>
  </si>
  <si>
    <t>（一+二+三）*5%</t>
    <phoneticPr fontId="4" type="noConversion"/>
  </si>
  <si>
    <t>一+二+三+四+五+六</t>
    <phoneticPr fontId="4" type="noConversion"/>
  </si>
  <si>
    <t>精装修</t>
    <phoneticPr fontId="7" type="noConversion"/>
  </si>
  <si>
    <t>净现金流量折现值</t>
    <phoneticPr fontId="7" type="noConversion"/>
  </si>
  <si>
    <t>累计净现金流量折现值</t>
    <phoneticPr fontId="7" type="noConversion"/>
  </si>
  <si>
    <t>累计所得税前净现金流量</t>
    <phoneticPr fontId="7" type="noConversion"/>
  </si>
  <si>
    <t>所得税前净现金流量折现值</t>
    <phoneticPr fontId="7" type="noConversion"/>
  </si>
  <si>
    <t>累计所得税前净现金流量折现值</t>
    <phoneticPr fontId="7" type="noConversion"/>
  </si>
  <si>
    <t>建设指标</t>
    <phoneticPr fontId="7" type="noConversion"/>
  </si>
  <si>
    <t>各业态面积</t>
    <phoneticPr fontId="7" type="noConversion"/>
  </si>
  <si>
    <t>各业态租购比</t>
    <phoneticPr fontId="7" type="noConversion"/>
  </si>
  <si>
    <t>从业人员</t>
    <phoneticPr fontId="7" type="noConversion"/>
  </si>
  <si>
    <t>入驻机构数量</t>
    <phoneticPr fontId="7" type="noConversion"/>
  </si>
  <si>
    <t>入驻机构固定资产投资与流动资金需求</t>
    <phoneticPr fontId="7" type="noConversion"/>
  </si>
  <si>
    <t>类别</t>
    <phoneticPr fontId="7" type="noConversion"/>
  </si>
  <si>
    <t>项目</t>
    <phoneticPr fontId="7" type="noConversion"/>
  </si>
  <si>
    <t>数据</t>
    <phoneticPr fontId="7" type="noConversion"/>
  </si>
  <si>
    <t>根据每家结构投资估算</t>
    <phoneticPr fontId="7" type="noConversion"/>
  </si>
  <si>
    <t>银行</t>
    <phoneticPr fontId="7" type="noConversion"/>
  </si>
  <si>
    <t>项目</t>
    <phoneticPr fontId="7" type="noConversion"/>
  </si>
  <si>
    <t>投入指标</t>
    <phoneticPr fontId="7" type="noConversion"/>
  </si>
  <si>
    <t>财务测算指标</t>
    <phoneticPr fontId="7" type="noConversion"/>
  </si>
  <si>
    <t>经营指标</t>
    <phoneticPr fontId="7" type="noConversion"/>
  </si>
  <si>
    <t>分行</t>
    <phoneticPr fontId="7" type="noConversion"/>
  </si>
  <si>
    <t>邮政银行</t>
    <phoneticPr fontId="7" type="noConversion"/>
  </si>
  <si>
    <t>面积范围</t>
    <phoneticPr fontId="7" type="noConversion"/>
  </si>
  <si>
    <t>850-3700</t>
    <phoneticPr fontId="7" type="noConversion"/>
  </si>
  <si>
    <t>480-1270</t>
    <phoneticPr fontId="7" type="noConversion"/>
  </si>
  <si>
    <t>20-60</t>
    <phoneticPr fontId="7" type="noConversion"/>
  </si>
  <si>
    <t>总行</t>
    <phoneticPr fontId="7" type="noConversion"/>
  </si>
  <si>
    <t>180-1200</t>
    <phoneticPr fontId="7" type="noConversion"/>
  </si>
  <si>
    <t>570-2100</t>
    <phoneticPr fontId="7" type="noConversion"/>
  </si>
  <si>
    <t>小微支行、社区支行</t>
    <phoneticPr fontId="7" type="noConversion"/>
  </si>
  <si>
    <t>180-1350</t>
    <phoneticPr fontId="7" type="noConversion"/>
  </si>
  <si>
    <t>网点</t>
    <phoneticPr fontId="7" type="noConversion"/>
  </si>
  <si>
    <t>1680-5400</t>
    <phoneticPr fontId="7" type="noConversion"/>
  </si>
  <si>
    <t>200-1000</t>
    <phoneticPr fontId="7" type="noConversion"/>
  </si>
  <si>
    <t>100-120</t>
    <phoneticPr fontId="7" type="noConversion"/>
  </si>
  <si>
    <r>
      <rPr>
        <sz val="10"/>
        <rFont val="宋体"/>
        <family val="3"/>
        <charset val="134"/>
      </rPr>
      <t>从</t>
    </r>
    <r>
      <rPr>
        <sz val="10"/>
        <rFont val="Arial"/>
        <family val="2"/>
      </rPr>
      <t>2020</t>
    </r>
    <r>
      <rPr>
        <sz val="10"/>
        <rFont val="宋体"/>
        <family val="3"/>
        <charset val="134"/>
      </rPr>
      <t>年六大行员工人均创造的营业收入来看，交行最高（人均创造</t>
    </r>
    <r>
      <rPr>
        <sz val="10"/>
        <rFont val="Arial"/>
        <family val="2"/>
      </rPr>
      <t>271</t>
    </r>
    <r>
      <rPr>
        <sz val="10"/>
        <rFont val="宋体"/>
        <family val="3"/>
        <charset val="134"/>
      </rPr>
      <t>万元营收）、建行排其次（</t>
    </r>
    <r>
      <rPr>
        <sz val="10"/>
        <rFont val="Arial"/>
        <family val="2"/>
      </rPr>
      <t>216</t>
    </r>
    <r>
      <rPr>
        <sz val="10"/>
        <rFont val="宋体"/>
        <family val="3"/>
        <charset val="134"/>
      </rPr>
      <t>万元）；农行的人均营收最低，仅为</t>
    </r>
    <r>
      <rPr>
        <sz val="10"/>
        <rFont val="Arial"/>
        <family val="2"/>
      </rPr>
      <t>143</t>
    </r>
    <r>
      <rPr>
        <sz val="10"/>
        <rFont val="宋体"/>
        <family val="3"/>
        <charset val="134"/>
      </rPr>
      <t>万元；从</t>
    </r>
    <r>
      <rPr>
        <sz val="10"/>
        <rFont val="Arial"/>
        <family val="2"/>
      </rPr>
      <t>2020</t>
    </r>
    <r>
      <rPr>
        <sz val="10"/>
        <rFont val="宋体"/>
        <family val="3"/>
        <charset val="134"/>
      </rPr>
      <t>年六大行员工人均净利润来看，依然是交行、建行居前，分别为</t>
    </r>
    <r>
      <rPr>
        <sz val="10"/>
        <rFont val="Arial"/>
        <family val="2"/>
      </rPr>
      <t>86</t>
    </r>
    <r>
      <rPr>
        <sz val="10"/>
        <rFont val="宋体"/>
        <family val="3"/>
        <charset val="134"/>
      </rPr>
      <t>万元、</t>
    </r>
    <r>
      <rPr>
        <sz val="10"/>
        <rFont val="Arial"/>
        <family val="2"/>
      </rPr>
      <t>77</t>
    </r>
    <r>
      <rPr>
        <sz val="10"/>
        <rFont val="宋体"/>
        <family val="3"/>
        <charset val="134"/>
      </rPr>
      <t>万元；邮储最低（</t>
    </r>
    <r>
      <rPr>
        <sz val="10"/>
        <rFont val="Arial"/>
        <family val="2"/>
      </rPr>
      <t>36</t>
    </r>
    <r>
      <rPr>
        <sz val="10"/>
        <rFont val="宋体"/>
        <family val="3"/>
        <charset val="134"/>
      </rPr>
      <t>万元）；六大行人均薪酬的排序，也与人均净利润的排序几乎一致。国有行中，人均净利润与人均薪酬有着很强的相关性，人均净利润最高的三家银行交行、建行、工行，同时也是人均薪酬最高的。一定程度上说明这三家银行的利润效能较高，同时也在同业中给了员工相对较好的薪酬待遇。</t>
    </r>
    <phoneticPr fontId="7" type="noConversion"/>
  </si>
  <si>
    <r>
      <rPr>
        <sz val="10"/>
        <rFont val="宋体"/>
        <family val="3"/>
        <charset val="134"/>
      </rPr>
      <t>在上市城商行、农商行中，南京银行人均薪酬最高，达到了</t>
    </r>
    <r>
      <rPr>
        <sz val="10"/>
        <rFont val="Arial"/>
        <family val="2"/>
      </rPr>
      <t>55.41</t>
    </r>
    <r>
      <rPr>
        <sz val="10"/>
        <rFont val="宋体"/>
        <family val="3"/>
        <charset val="134"/>
      </rPr>
      <t>万元，也是唯一一家员工人均薪酬超过</t>
    </r>
    <r>
      <rPr>
        <sz val="10"/>
        <rFont val="Arial"/>
        <family val="2"/>
      </rPr>
      <t>50</t>
    </r>
    <r>
      <rPr>
        <sz val="10"/>
        <rFont val="宋体"/>
        <family val="3"/>
        <charset val="134"/>
      </rPr>
      <t>万的上市城、农商行；杭州银行、北京银行、宁波银行、苏州银行、上海银行的人均薪酬也都在</t>
    </r>
    <r>
      <rPr>
        <sz val="10"/>
        <rFont val="Arial"/>
        <family val="2"/>
      </rPr>
      <t>40</t>
    </r>
    <r>
      <rPr>
        <sz val="10"/>
        <rFont val="宋体"/>
        <family val="3"/>
        <charset val="134"/>
      </rPr>
      <t>万以上。可以发现，薪酬最高的城商行基本集中于江浙沪地区，且均为规模较大的银行。在人均薪酬较低的银行中，青农商行、重庆银行、常熟银行的人均薪酬均在</t>
    </r>
    <r>
      <rPr>
        <sz val="10"/>
        <rFont val="Arial"/>
        <family val="2"/>
      </rPr>
      <t>30</t>
    </r>
    <r>
      <rPr>
        <sz val="10"/>
        <rFont val="宋体"/>
        <family val="3"/>
        <charset val="134"/>
      </rPr>
      <t>万以下。</t>
    </r>
    <phoneticPr fontId="7" type="noConversion"/>
  </si>
  <si>
    <r>
      <rPr>
        <sz val="10"/>
        <rFont val="宋体"/>
        <family val="3"/>
        <charset val="134"/>
      </rPr>
      <t>人均营业收入最高的银行是北京银行，为</t>
    </r>
    <r>
      <rPr>
        <sz val="10"/>
        <rFont val="Arial"/>
        <family val="2"/>
      </rPr>
      <t>415</t>
    </r>
    <r>
      <rPr>
        <sz val="10"/>
        <rFont val="宋体"/>
        <family val="3"/>
        <charset val="134"/>
      </rPr>
      <t>万元；此外，上海银行、江苏银行分别以</t>
    </r>
    <r>
      <rPr>
        <sz val="10"/>
        <rFont val="Arial"/>
        <family val="2"/>
      </rPr>
      <t>380</t>
    </r>
    <r>
      <rPr>
        <sz val="10"/>
        <rFont val="宋体"/>
        <family val="3"/>
        <charset val="134"/>
      </rPr>
      <t>万元、</t>
    </r>
    <r>
      <rPr>
        <sz val="10"/>
        <rFont val="Arial"/>
        <family val="2"/>
      </rPr>
      <t>339</t>
    </r>
    <r>
      <rPr>
        <sz val="10"/>
        <rFont val="宋体"/>
        <family val="3"/>
        <charset val="134"/>
      </rPr>
      <t>万元的人均营业收入排名第二、三位。
值得注意的是，同处长三角地区的宁波银行，</t>
    </r>
    <r>
      <rPr>
        <sz val="10"/>
        <rFont val="Arial"/>
        <family val="2"/>
      </rPr>
      <t>2020</t>
    </r>
    <r>
      <rPr>
        <sz val="10"/>
        <rFont val="宋体"/>
        <family val="3"/>
        <charset val="134"/>
      </rPr>
      <t>年人均营业收入仅为</t>
    </r>
    <r>
      <rPr>
        <sz val="10"/>
        <rFont val="Arial"/>
        <family val="2"/>
      </rPr>
      <t>169</t>
    </r>
    <r>
      <rPr>
        <sz val="10"/>
        <rFont val="宋体"/>
        <family val="3"/>
        <charset val="134"/>
      </rPr>
      <t>万元，在上市城商行中处于最低水平。
这可能跟该行的业务模式有关，与其他同等规模城商行相比，宁波银行的特点是更加注重线下业务，因而员工人数较多。比如，在</t>
    </r>
    <r>
      <rPr>
        <sz val="10"/>
        <rFont val="Arial"/>
        <family val="2"/>
      </rPr>
      <t>2</t>
    </r>
    <r>
      <rPr>
        <sz val="10"/>
        <rFont val="宋体"/>
        <family val="3"/>
        <charset val="134"/>
      </rPr>
      <t>万元左右总资产的银行中，宁波银行的员工数量为</t>
    </r>
    <r>
      <rPr>
        <sz val="10"/>
        <rFont val="Arial"/>
        <family val="2"/>
      </rPr>
      <t>2.34</t>
    </r>
    <r>
      <rPr>
        <sz val="10"/>
        <rFont val="宋体"/>
        <family val="3"/>
        <charset val="134"/>
      </rPr>
      <t>万人，超过了北京银行、上海银行、江苏银行等银行</t>
    </r>
    <r>
      <rPr>
        <sz val="10"/>
        <rFont val="Arial"/>
        <family val="2"/>
      </rPr>
      <t>50%</t>
    </r>
    <r>
      <rPr>
        <sz val="10"/>
        <rFont val="宋体"/>
        <family val="3"/>
        <charset val="134"/>
      </rPr>
      <t>以上。</t>
    </r>
    <phoneticPr fontId="7" type="noConversion"/>
  </si>
  <si>
    <t>从人均净利润来看，上海银行、北京银行、南京银行、重庆银行等4家都在100万元以上。</t>
  </si>
  <si>
    <r>
      <rPr>
        <sz val="10"/>
        <rFont val="宋体"/>
        <family val="3"/>
        <charset val="134"/>
      </rPr>
      <t>从营收效能来看，北京银行、上海银行、江苏银行最高，都在</t>
    </r>
    <r>
      <rPr>
        <sz val="10"/>
        <rFont val="Arial"/>
        <family val="2"/>
      </rPr>
      <t>8</t>
    </r>
    <r>
      <rPr>
        <sz val="10"/>
        <rFont val="宋体"/>
        <family val="3"/>
        <charset val="134"/>
      </rPr>
      <t>倍以上，就是每支付</t>
    </r>
    <r>
      <rPr>
        <sz val="10"/>
        <rFont val="Arial"/>
        <family val="2"/>
      </rPr>
      <t>1</t>
    </r>
    <r>
      <rPr>
        <sz val="10"/>
        <rFont val="宋体"/>
        <family val="3"/>
        <charset val="134"/>
      </rPr>
      <t>元薪酬，创造了</t>
    </r>
    <r>
      <rPr>
        <sz val="10"/>
        <rFont val="Arial"/>
        <family val="2"/>
      </rPr>
      <t>8</t>
    </r>
    <r>
      <rPr>
        <sz val="10"/>
        <rFont val="宋体"/>
        <family val="3"/>
        <charset val="134"/>
      </rPr>
      <t>元以上的营业收入；常熟银行、宁波银行、瑞丰银行的营收效能较低，均在</t>
    </r>
    <r>
      <rPr>
        <sz val="10"/>
        <rFont val="Arial"/>
        <family val="2"/>
      </rPr>
      <t>5</t>
    </r>
    <r>
      <rPr>
        <sz val="10"/>
        <rFont val="宋体"/>
        <family val="3"/>
        <charset val="134"/>
      </rPr>
      <t>倍以下。
在利润效能上，北京银行、成都银行、贵阳银行、江苏银行和无锡银行较高，都在</t>
    </r>
    <r>
      <rPr>
        <sz val="10"/>
        <rFont val="Arial"/>
        <family val="2"/>
      </rPr>
      <t>2</t>
    </r>
    <r>
      <rPr>
        <sz val="10"/>
        <rFont val="宋体"/>
        <family val="3"/>
        <charset val="134"/>
      </rPr>
      <t>倍以上；宁波银行、苏州银行等较低，均在</t>
    </r>
    <r>
      <rPr>
        <sz val="10"/>
        <rFont val="Arial"/>
        <family val="2"/>
      </rPr>
      <t>1.5</t>
    </r>
    <r>
      <rPr>
        <sz val="10"/>
        <rFont val="宋体"/>
        <family val="3"/>
        <charset val="134"/>
      </rPr>
      <t xml:space="preserve">倍以下。
需要说明的是，营收效能与利润效能不能简单来对比高低，与各家银行的薪酬基数息息相关。人均薪酬较高，且营收效能、利润效能突出的银行，账面利润创造能力相对更高。
</t>
    </r>
    <phoneticPr fontId="7" type="noConversion"/>
  </si>
  <si>
    <t>支行（营业部、营业网点）</t>
    <phoneticPr fontId="7" type="noConversion"/>
  </si>
  <si>
    <t>总租赁物业面积</t>
    <phoneticPr fontId="7" type="noConversion"/>
  </si>
  <si>
    <t>租赁物业数量</t>
    <phoneticPr fontId="7" type="noConversion"/>
  </si>
  <si>
    <t>自有产权物业面积</t>
    <phoneticPr fontId="7" type="noConversion"/>
  </si>
  <si>
    <t>自有物业数量</t>
    <phoneticPr fontId="7" type="noConversion"/>
  </si>
  <si>
    <t>单位网点物业面积</t>
    <phoneticPr fontId="7" type="noConversion"/>
  </si>
  <si>
    <t>自有物业占比</t>
    <phoneticPr fontId="7" type="noConversion"/>
  </si>
  <si>
    <t>平均每网点员工数</t>
    <phoneticPr fontId="7" type="noConversion"/>
  </si>
  <si>
    <t>员工数</t>
    <phoneticPr fontId="7" type="noConversion"/>
  </si>
  <si>
    <t>平均每员工办公面积（m2/人）</t>
    <phoneticPr fontId="7" type="noConversion"/>
  </si>
  <si>
    <t>人均薪酬（万元/年）</t>
    <phoneticPr fontId="7" type="noConversion"/>
  </si>
  <si>
    <t>面积（m2）</t>
    <phoneticPr fontId="7" type="noConversion"/>
  </si>
  <si>
    <t>合计/平均</t>
    <phoneticPr fontId="7" type="noConversion"/>
  </si>
  <si>
    <t>人均营收（万元/人）</t>
    <phoneticPr fontId="7" type="noConversion"/>
  </si>
  <si>
    <t>人均净利润（万元/人）</t>
    <phoneticPr fontId="7" type="noConversion"/>
  </si>
  <si>
    <t>农业银行</t>
    <phoneticPr fontId="7" type="noConversion"/>
  </si>
  <si>
    <t>工商银行</t>
    <phoneticPr fontId="7" type="noConversion"/>
  </si>
  <si>
    <t>建设银行</t>
    <phoneticPr fontId="7" type="noConversion"/>
  </si>
  <si>
    <t>中国银行</t>
    <phoneticPr fontId="7" type="noConversion"/>
  </si>
  <si>
    <t>邮储银行</t>
    <phoneticPr fontId="7" type="noConversion"/>
  </si>
  <si>
    <t>交通银行</t>
    <phoneticPr fontId="7" type="noConversion"/>
  </si>
  <si>
    <t>员工人数</t>
    <phoneticPr fontId="7" type="noConversion"/>
  </si>
  <si>
    <t>人均工资（万元/年）</t>
    <phoneticPr fontId="7" type="noConversion"/>
  </si>
  <si>
    <t>工资</t>
    <phoneticPr fontId="7" type="noConversion"/>
  </si>
  <si>
    <t>利润</t>
    <phoneticPr fontId="7" type="noConversion"/>
  </si>
  <si>
    <t>营收</t>
    <phoneticPr fontId="7" type="noConversion"/>
  </si>
  <si>
    <t>网均营收（万元/网点）</t>
    <phoneticPr fontId="7" type="noConversion"/>
  </si>
  <si>
    <t>网均净利润（万元/网点）</t>
    <phoneticPr fontId="7" type="noConversion"/>
  </si>
  <si>
    <t>网均流动资产（亿元）</t>
    <phoneticPr fontId="7" type="noConversion"/>
  </si>
  <si>
    <t>网均净资产（亿元）</t>
    <phoneticPr fontId="7" type="noConversion"/>
  </si>
  <si>
    <t>网均总资产（亿元）</t>
    <phoneticPr fontId="7" type="noConversion"/>
  </si>
  <si>
    <t>固定资产（万元）</t>
    <phoneticPr fontId="7" type="noConversion"/>
  </si>
  <si>
    <t>网均固定资产（万元）</t>
    <phoneticPr fontId="7" type="noConversion"/>
  </si>
  <si>
    <t>所得税率</t>
    <phoneticPr fontId="7" type="noConversion"/>
  </si>
  <si>
    <t>税金及附加占营业收入比重</t>
    <phoneticPr fontId="7" type="noConversion"/>
  </si>
  <si>
    <t>人均薪酬（万元/年）</t>
  </si>
  <si>
    <r>
      <rPr>
        <sz val="10"/>
        <rFont val="宋体"/>
        <family val="3"/>
        <charset val="134"/>
      </rPr>
      <t>应纳税额=（工资</t>
    </r>
    <r>
      <rPr>
        <sz val="10"/>
        <rFont val="Arial"/>
        <family val="2"/>
      </rPr>
      <t>-</t>
    </r>
    <r>
      <rPr>
        <sz val="10"/>
        <rFont val="宋体"/>
        <family val="3"/>
        <charset val="134"/>
      </rPr>
      <t>免征额）</t>
    </r>
    <r>
      <rPr>
        <sz val="10"/>
        <rFont val="Arial"/>
        <family val="2"/>
      </rPr>
      <t>*</t>
    </r>
    <r>
      <rPr>
        <sz val="10"/>
        <rFont val="宋体"/>
        <family val="3"/>
        <charset val="134"/>
      </rPr>
      <t>分级税率</t>
    </r>
    <r>
      <rPr>
        <sz val="10"/>
        <rFont val="Arial"/>
        <family val="2"/>
      </rPr>
      <t>-</t>
    </r>
    <r>
      <rPr>
        <sz val="10"/>
        <rFont val="宋体"/>
        <family val="3"/>
        <charset val="134"/>
      </rPr>
      <t>速算扣除数）</t>
    </r>
    <phoneticPr fontId="7" type="noConversion"/>
  </si>
  <si>
    <t>邮政储蓄银行</t>
  </si>
  <si>
    <t>净利润（亿元）</t>
    <phoneticPr fontId="7" type="noConversion"/>
  </si>
  <si>
    <t>营业利润（亿元）</t>
    <phoneticPr fontId="7" type="noConversion"/>
  </si>
  <si>
    <t>企业所得税（亿元）</t>
    <phoneticPr fontId="7" type="noConversion"/>
  </si>
  <si>
    <t>其中：城市维护建设税</t>
    <phoneticPr fontId="7" type="noConversion"/>
  </si>
  <si>
    <t>其中：教育费附加</t>
    <phoneticPr fontId="7" type="noConversion"/>
  </si>
  <si>
    <t>其中：其他</t>
    <phoneticPr fontId="7" type="noConversion"/>
  </si>
  <si>
    <t>人均个人所得税（元/年）</t>
    <phoneticPr fontId="7" type="noConversion"/>
  </si>
  <si>
    <t>增值税/营业收入</t>
    <phoneticPr fontId="7" type="noConversion"/>
  </si>
  <si>
    <t>税金及附加（亿元）</t>
    <phoneticPr fontId="7" type="noConversion"/>
  </si>
  <si>
    <t>增值税（亿元）</t>
    <phoneticPr fontId="7" type="noConversion"/>
  </si>
  <si>
    <t>2020年数据</t>
    <phoneticPr fontId="7" type="noConversion"/>
  </si>
  <si>
    <t>合计/平均</t>
    <phoneticPr fontId="7" type="noConversion"/>
  </si>
  <si>
    <t>人均营收（万元/人）</t>
    <phoneticPr fontId="7" type="noConversion"/>
  </si>
  <si>
    <t>人均净利润（万元/人）</t>
    <phoneticPr fontId="7" type="noConversion"/>
  </si>
  <si>
    <t>净利润（亿元）</t>
    <phoneticPr fontId="7" type="noConversion"/>
  </si>
  <si>
    <t>营业利润营业收入</t>
    <phoneticPr fontId="7" type="noConversion"/>
  </si>
  <si>
    <t>银行</t>
  </si>
  <si>
    <t>劳动者报酬</t>
  </si>
  <si>
    <t>生产税净额</t>
  </si>
  <si>
    <t>当年折旧</t>
  </si>
  <si>
    <t>经营利润</t>
  </si>
  <si>
    <t>长沙银行</t>
  </si>
  <si>
    <t>浙商银行</t>
  </si>
  <si>
    <t>东莞银行</t>
  </si>
  <si>
    <t>上海银行</t>
  </si>
  <si>
    <t>齐鲁银行</t>
  </si>
  <si>
    <t>江苏银行</t>
  </si>
  <si>
    <t>中国银行</t>
  </si>
  <si>
    <t>农业银行</t>
  </si>
  <si>
    <t>交通银行</t>
  </si>
  <si>
    <t>建设银行</t>
  </si>
  <si>
    <t>工商银行</t>
  </si>
  <si>
    <t>合计</t>
    <phoneticPr fontId="7" type="noConversion"/>
  </si>
  <si>
    <t>合计</t>
    <phoneticPr fontId="7" type="noConversion"/>
  </si>
  <si>
    <t>高层</t>
    <phoneticPr fontId="7" type="noConversion"/>
  </si>
  <si>
    <t>中层</t>
    <phoneticPr fontId="7" type="noConversion"/>
  </si>
  <si>
    <t>员工</t>
    <phoneticPr fontId="7" type="noConversion"/>
  </si>
  <si>
    <t>齐鲁</t>
    <phoneticPr fontId="7" type="noConversion"/>
  </si>
  <si>
    <t>广州</t>
    <phoneticPr fontId="7" type="noConversion"/>
  </si>
  <si>
    <t>长沙</t>
    <phoneticPr fontId="7" type="noConversion"/>
  </si>
  <si>
    <t>两者合计</t>
    <phoneticPr fontId="7" type="noConversion"/>
  </si>
  <si>
    <t>平均增加值率</t>
    <phoneticPr fontId="7" type="noConversion"/>
  </si>
  <si>
    <t>序号</t>
    <phoneticPr fontId="46" type="noConversion"/>
  </si>
  <si>
    <t>项目</t>
    <phoneticPr fontId="46" type="noConversion"/>
  </si>
  <si>
    <t>金额（元，人民币）</t>
  </si>
  <si>
    <t>年收入</t>
    <phoneticPr fontId="46" type="noConversion"/>
  </si>
  <si>
    <t>一</t>
    <phoneticPr fontId="46" type="noConversion"/>
  </si>
  <si>
    <t>综合所得合计</t>
    <phoneticPr fontId="46" type="noConversion"/>
  </si>
  <si>
    <t>二</t>
    <phoneticPr fontId="46" type="noConversion"/>
  </si>
  <si>
    <t>工资、薪金所得</t>
    <phoneticPr fontId="46" type="noConversion"/>
  </si>
  <si>
    <t>劳务报酬所得</t>
    <phoneticPr fontId="46" type="noConversion"/>
  </si>
  <si>
    <t>稿酬所得</t>
    <phoneticPr fontId="46" type="noConversion"/>
  </si>
  <si>
    <t>特许权使用费所得</t>
    <phoneticPr fontId="46" type="noConversion"/>
  </si>
  <si>
    <t>免税收入合计</t>
    <phoneticPr fontId="46" type="noConversion"/>
  </si>
  <si>
    <t>三</t>
    <phoneticPr fontId="46" type="noConversion"/>
  </si>
  <si>
    <t>专项扣除合计</t>
    <phoneticPr fontId="46" type="noConversion"/>
  </si>
  <si>
    <t>基本养老保险费</t>
    <phoneticPr fontId="46" type="noConversion"/>
  </si>
  <si>
    <t>基本医疗保险费</t>
    <phoneticPr fontId="46" type="noConversion"/>
  </si>
  <si>
    <t>失业保险费</t>
    <phoneticPr fontId="46" type="noConversion"/>
  </si>
  <si>
    <t>住房公积金</t>
    <phoneticPr fontId="46" type="noConversion"/>
  </si>
  <si>
    <t>四</t>
    <phoneticPr fontId="46" type="noConversion"/>
  </si>
  <si>
    <t>专项附加扣除合计</t>
    <phoneticPr fontId="46" type="noConversion"/>
  </si>
  <si>
    <t>子女教育</t>
    <phoneticPr fontId="46" type="noConversion"/>
  </si>
  <si>
    <t>继续教育</t>
    <phoneticPr fontId="46" type="noConversion"/>
  </si>
  <si>
    <t>应纳税所得额</t>
    <phoneticPr fontId="46" type="noConversion"/>
  </si>
  <si>
    <t>大病医疗</t>
    <phoneticPr fontId="46" type="noConversion"/>
  </si>
  <si>
    <t>五</t>
    <phoneticPr fontId="46" type="noConversion"/>
  </si>
  <si>
    <t>适用税率</t>
    <phoneticPr fontId="46" type="noConversion"/>
  </si>
  <si>
    <t>住房贷款利息</t>
    <phoneticPr fontId="46" type="noConversion"/>
  </si>
  <si>
    <t>六</t>
    <phoneticPr fontId="46" type="noConversion"/>
  </si>
  <si>
    <t>适用速算扣除数</t>
    <phoneticPr fontId="46" type="noConversion"/>
  </si>
  <si>
    <t>住房租金</t>
    <phoneticPr fontId="46" type="noConversion"/>
  </si>
  <si>
    <t>七</t>
    <phoneticPr fontId="46" type="noConversion"/>
  </si>
  <si>
    <t>赡养老人</t>
    <phoneticPr fontId="46" type="noConversion"/>
  </si>
  <si>
    <t>八</t>
    <phoneticPr fontId="46" type="noConversion"/>
  </si>
  <si>
    <t>其他扣除合计</t>
    <phoneticPr fontId="46" type="noConversion"/>
  </si>
  <si>
    <t>九</t>
    <phoneticPr fontId="46" type="noConversion"/>
  </si>
  <si>
    <t>十</t>
    <phoneticPr fontId="46" type="noConversion"/>
  </si>
  <si>
    <t>应纳税额/年收入</t>
    <phoneticPr fontId="46" type="noConversion"/>
  </si>
  <si>
    <t>综合所得应纳税额</t>
    <phoneticPr fontId="46" type="noConversion"/>
  </si>
  <si>
    <t>非综合所得合计</t>
    <phoneticPr fontId="46" type="noConversion"/>
  </si>
  <si>
    <t>经营所得</t>
    <phoneticPr fontId="46" type="noConversion"/>
  </si>
  <si>
    <t>利息、股息、红利所得</t>
    <phoneticPr fontId="46" type="noConversion"/>
  </si>
  <si>
    <t>财产租赁所得</t>
    <phoneticPr fontId="46" type="noConversion"/>
  </si>
  <si>
    <t>财产转让所得</t>
    <phoneticPr fontId="46" type="noConversion"/>
  </si>
  <si>
    <t>偶然所得</t>
    <phoneticPr fontId="46" type="noConversion"/>
  </si>
  <si>
    <t>十一</t>
    <phoneticPr fontId="46" type="noConversion"/>
  </si>
  <si>
    <t>十一、非综合所得应纳税额</t>
    <phoneticPr fontId="46" type="noConversion"/>
  </si>
  <si>
    <t>十二</t>
    <phoneticPr fontId="46" type="noConversion"/>
  </si>
  <si>
    <t>十三、应纳税额合计</t>
    <phoneticPr fontId="46" type="noConversion"/>
  </si>
  <si>
    <t>十三</t>
    <phoneticPr fontId="46" type="noConversion"/>
  </si>
  <si>
    <t>营业收入（亿元）</t>
    <phoneticPr fontId="7" type="noConversion"/>
  </si>
  <si>
    <r>
      <t>营业面积（万m</t>
    </r>
    <r>
      <rPr>
        <b/>
        <vertAlign val="superscript"/>
        <sz val="10.5"/>
        <color rgb="FFFFFFFF"/>
        <rFont val="微软雅黑"/>
        <family val="2"/>
        <charset val="134"/>
      </rPr>
      <t>2</t>
    </r>
    <r>
      <rPr>
        <b/>
        <sz val="10.5"/>
        <color rgb="FFFFFFFF"/>
        <rFont val="微软雅黑"/>
        <family val="2"/>
        <charset val="134"/>
      </rPr>
      <t>）</t>
    </r>
    <phoneticPr fontId="7" type="noConversion"/>
  </si>
  <si>
    <r>
      <t>单位面积产出（万元/m</t>
    </r>
    <r>
      <rPr>
        <b/>
        <vertAlign val="superscript"/>
        <sz val="10.5"/>
        <color rgb="FFFFFFFF"/>
        <rFont val="微软雅黑"/>
        <family val="2"/>
        <charset val="134"/>
      </rPr>
      <t>2</t>
    </r>
    <r>
      <rPr>
        <b/>
        <sz val="10.5"/>
        <color rgb="FFFFFFFF"/>
        <rFont val="微软雅黑"/>
        <family val="2"/>
        <charset val="134"/>
      </rPr>
      <t>）</t>
    </r>
    <phoneticPr fontId="7" type="noConversion"/>
  </si>
  <si>
    <t>指标</t>
    <phoneticPr fontId="7" type="noConversion"/>
  </si>
  <si>
    <t>备注</t>
    <phoneticPr fontId="7" type="noConversion"/>
  </si>
  <si>
    <t>依据</t>
    <phoneticPr fontId="7" type="noConversion"/>
  </si>
  <si>
    <t>增值税税负率</t>
    <phoneticPr fontId="7" type="noConversion"/>
  </si>
  <si>
    <t>税金及附加占营收比重</t>
    <phoneticPr fontId="7" type="noConversion"/>
  </si>
  <si>
    <t>增加值率</t>
    <phoneticPr fontId="7" type="noConversion"/>
  </si>
  <si>
    <t>占地面积*容积率</t>
    <phoneticPr fontId="7" type="noConversion"/>
  </si>
  <si>
    <t>单位建筑面积营收（万元/m2）</t>
    <phoneticPr fontId="7" type="noConversion"/>
  </si>
  <si>
    <t>普通员工占比</t>
    <phoneticPr fontId="7" type="noConversion"/>
  </si>
  <si>
    <t>中层员工占比</t>
    <phoneticPr fontId="7" type="noConversion"/>
  </si>
  <si>
    <t>高层员工占比</t>
    <phoneticPr fontId="7" type="noConversion"/>
  </si>
  <si>
    <t>五险一金</t>
    <phoneticPr fontId="46" type="noConversion"/>
  </si>
  <si>
    <t>个人应缴部分</t>
    <phoneticPr fontId="46" type="noConversion"/>
  </si>
  <si>
    <t>单位应缴部分</t>
    <phoneticPr fontId="46" type="noConversion"/>
  </si>
  <si>
    <t>养老保险金</t>
    <phoneticPr fontId="46" type="noConversion"/>
  </si>
  <si>
    <t>--</t>
    <phoneticPr fontId="46" type="noConversion"/>
  </si>
  <si>
    <t>医疗保险金</t>
    <phoneticPr fontId="46" type="noConversion"/>
  </si>
  <si>
    <t>失业保险金</t>
    <phoneticPr fontId="46" type="noConversion"/>
  </si>
  <si>
    <t>工伤保险金</t>
    <phoneticPr fontId="46" type="noConversion"/>
  </si>
  <si>
    <t>生育保险金</t>
    <phoneticPr fontId="46" type="noConversion"/>
  </si>
  <si>
    <t>总计</t>
    <phoneticPr fontId="46" type="noConversion"/>
  </si>
  <si>
    <t>级数</t>
    <phoneticPr fontId="46" type="noConversion"/>
  </si>
  <si>
    <t>全年应纳税所得额</t>
    <phoneticPr fontId="46" type="noConversion"/>
  </si>
  <si>
    <t>税率(%)</t>
    <phoneticPr fontId="46" type="noConversion"/>
  </si>
  <si>
    <t>速算扣除数</t>
    <phoneticPr fontId="46" type="noConversion"/>
  </si>
  <si>
    <t>不超过3.6万元的</t>
    <phoneticPr fontId="46" type="noConversion"/>
  </si>
  <si>
    <t>超过3.6万元至14.4万元的部分</t>
    <phoneticPr fontId="46" type="noConversion"/>
  </si>
  <si>
    <t>超过14.4万元至30万元的部分</t>
    <phoneticPr fontId="46" type="noConversion"/>
  </si>
  <si>
    <t>超过30万元至42万元的部分</t>
    <phoneticPr fontId="46" type="noConversion"/>
  </si>
  <si>
    <t>超过42万元至66万元的部分</t>
    <phoneticPr fontId="46" type="noConversion"/>
  </si>
  <si>
    <t>超过66万元至96万元的部分</t>
    <phoneticPr fontId="46" type="noConversion"/>
  </si>
  <si>
    <t>超过96万元的部分</t>
    <phoneticPr fontId="46" type="noConversion"/>
  </si>
  <si>
    <t>2021年深圳职工平均年薪</t>
    <phoneticPr fontId="46" type="noConversion"/>
  </si>
  <si>
    <t>根据个税计算表自动计算</t>
    <phoneticPr fontId="7" type="noConversion"/>
  </si>
  <si>
    <r>
      <t>人均营业面积（m</t>
    </r>
    <r>
      <rPr>
        <vertAlign val="superscript"/>
        <sz val="11"/>
        <rFont val="宋体"/>
        <family val="3"/>
        <charset val="134"/>
        <scheme val="minor"/>
      </rPr>
      <t>2</t>
    </r>
    <r>
      <rPr>
        <sz val="11"/>
        <rFont val="宋体"/>
        <family val="3"/>
        <charset val="134"/>
        <scheme val="minor"/>
      </rPr>
      <t>/人）</t>
    </r>
    <phoneticPr fontId="7" type="noConversion"/>
  </si>
  <si>
    <r>
      <t>6</t>
    </r>
    <r>
      <rPr>
        <sz val="11"/>
        <color rgb="FF000000"/>
        <rFont val="宋体"/>
        <family val="3"/>
        <charset val="134"/>
        <scheme val="minor"/>
      </rPr>
      <t>家近期上市的城商行与6家国有银行2020年年报披露的高层、中层及普通员工数和总员工数。</t>
    </r>
    <phoneticPr fontId="7" type="noConversion"/>
  </si>
  <si>
    <r>
      <t>6</t>
    </r>
    <r>
      <rPr>
        <sz val="11"/>
        <color rgb="FF000000"/>
        <rFont val="宋体"/>
        <family val="3"/>
        <charset val="134"/>
        <scheme val="minor"/>
      </rPr>
      <t>家近期上市的城商行与6家国有银行年报披露的2020年增值税和营业收入。</t>
    </r>
    <phoneticPr fontId="7" type="noConversion"/>
  </si>
  <si>
    <r>
      <t>6</t>
    </r>
    <r>
      <rPr>
        <sz val="11"/>
        <color rgb="FF000000"/>
        <rFont val="宋体"/>
        <family val="3"/>
        <charset val="134"/>
        <scheme val="minor"/>
      </rPr>
      <t>家近期上市的城商行与6家国有银行年报披露的2020年税金及附加和营业收入。</t>
    </r>
    <phoneticPr fontId="7" type="noConversion"/>
  </si>
  <si>
    <r>
      <t>6</t>
    </r>
    <r>
      <rPr>
        <sz val="11"/>
        <color rgb="FF000000"/>
        <rFont val="宋体"/>
        <family val="3"/>
        <charset val="134"/>
        <scheme val="minor"/>
      </rPr>
      <t>家近期上市的城商行与6家国有银行年报披露的2020年所得税和营业收入。</t>
    </r>
    <phoneticPr fontId="7" type="noConversion"/>
  </si>
  <si>
    <r>
      <t>根据国家统计局的对金融行业增加值核算方法，我国年度金融业增加值采用的是收入法进行核算，即分为劳动者报酬，生产税净额，固定资产折旧和营业盈余四项。利用</t>
    </r>
    <r>
      <rPr>
        <sz val="11"/>
        <color rgb="FF000000"/>
        <rFont val="宋体"/>
        <family val="3"/>
        <charset val="134"/>
        <scheme val="minor"/>
      </rPr>
      <t>12家银行2020年数据，按照收入法计算增加值，主要数据有员工薪酬、增值税、营业税金及附加、当年折旧、营业利润、营业收入。</t>
    </r>
    <phoneticPr fontId="7" type="noConversion"/>
  </si>
  <si>
    <t>营业收入测算数据</t>
    <phoneticPr fontId="7" type="noConversion"/>
  </si>
  <si>
    <t>税收测算数据</t>
    <phoneticPr fontId="7" type="noConversion"/>
  </si>
  <si>
    <t>四</t>
    <phoneticPr fontId="7" type="noConversion"/>
  </si>
  <si>
    <t>增加值测算数据</t>
    <phoneticPr fontId="7" type="noConversion"/>
  </si>
  <si>
    <t>高层员工人均薪酬（万元）</t>
    <phoneticPr fontId="7" type="noConversion"/>
  </si>
  <si>
    <t>中层员工人均薪酬（万元）</t>
    <phoneticPr fontId="7" type="noConversion"/>
  </si>
  <si>
    <t>普通员工人均薪酬（万元）</t>
    <phoneticPr fontId="7" type="noConversion"/>
  </si>
  <si>
    <r>
      <t>增加值率=增加值</t>
    </r>
    <r>
      <rPr>
        <sz val="11"/>
        <color rgb="FF000000"/>
        <rFont val="宋体"/>
        <family val="3"/>
        <charset val="134"/>
        <scheme val="minor"/>
      </rPr>
      <t>/营业收入，建议取值60.64%。</t>
    </r>
    <phoneticPr fontId="7" type="noConversion"/>
  </si>
  <si>
    <r>
      <t>各层级员工薪酬</t>
    </r>
    <r>
      <rPr>
        <sz val="11"/>
        <color rgb="FF000000"/>
        <rFont val="宋体"/>
        <family val="3"/>
        <charset val="134"/>
        <scheme val="minor"/>
      </rPr>
      <t>/对应层级员工人数，城商行银行高层建议取值210万，中层为80万，普通员工为33万；国有银行高层人均薪酬建议取值168万，中层为65万元，普通员工为27万；</t>
    </r>
    <phoneticPr fontId="7" type="noConversion"/>
  </si>
  <si>
    <r>
      <t>单位建筑面积营收=营业收入</t>
    </r>
    <r>
      <rPr>
        <sz val="11"/>
        <color rgb="FF000000"/>
        <rFont val="宋体"/>
        <family val="3"/>
        <charset val="134"/>
        <scheme val="minor"/>
      </rPr>
      <t>/营业面积，建议取值6.2万元/m2</t>
    </r>
    <phoneticPr fontId="7" type="noConversion"/>
  </si>
  <si>
    <t>人均营收（万元）</t>
    <phoneticPr fontId="7" type="noConversion"/>
  </si>
  <si>
    <r>
      <t>人均薪酬=员工薪酬</t>
    </r>
    <r>
      <rPr>
        <sz val="11"/>
        <color rgb="FF000000"/>
        <rFont val="宋体"/>
        <family val="3"/>
        <charset val="134"/>
        <scheme val="minor"/>
      </rPr>
      <t>/员工人数，建议城商行取值36万元，国有银行取值29万元；</t>
    </r>
    <phoneticPr fontId="7" type="noConversion"/>
  </si>
  <si>
    <r>
      <t>各层级员工占比=各层级员人数</t>
    </r>
    <r>
      <rPr>
        <sz val="11"/>
        <color rgb="FF000000"/>
        <rFont val="宋体"/>
        <family val="3"/>
        <charset val="134"/>
        <scheme val="minor"/>
      </rPr>
      <t>/员工总人数，建议高层占比取值为0.3%，中层取值4.7%，普通员工取值95%；如不涉及总部项目，建议高层人数可合并至中层；</t>
    </r>
    <phoneticPr fontId="7" type="noConversion"/>
  </si>
  <si>
    <r>
      <t>增值税税负率=增值税</t>
    </r>
    <r>
      <rPr>
        <sz val="11"/>
        <color rgb="FF000000"/>
        <rFont val="宋体"/>
        <family val="3"/>
        <charset val="134"/>
        <scheme val="minor"/>
      </rPr>
      <t>/营业收入，建议取值为1.28%；</t>
    </r>
    <phoneticPr fontId="7" type="noConversion"/>
  </si>
  <si>
    <r>
      <t>税金及附加占营收比重=税金及附加</t>
    </r>
    <r>
      <rPr>
        <sz val="11"/>
        <color rgb="FF000000"/>
        <rFont val="宋体"/>
        <family val="3"/>
        <charset val="134"/>
        <scheme val="minor"/>
      </rPr>
      <t>/营业收入，建议取值为0.96%；</t>
    </r>
    <phoneticPr fontId="7" type="noConversion"/>
  </si>
  <si>
    <t>员工总人数</t>
    <phoneticPr fontId="7" type="noConversion"/>
  </si>
  <si>
    <r>
      <t>员工总人数=建筑面积</t>
    </r>
    <r>
      <rPr>
        <sz val="11"/>
        <color rgb="FF000000"/>
        <rFont val="宋体"/>
        <family val="3"/>
        <charset val="134"/>
        <scheme val="minor"/>
      </rPr>
      <t>/人均面积</t>
    </r>
    <phoneticPr fontId="7" type="noConversion"/>
  </si>
  <si>
    <t>高层员工人数=员工总人数*高层员工占比</t>
    <phoneticPr fontId="7" type="noConversion"/>
  </si>
  <si>
    <t>高层员工人数</t>
    <phoneticPr fontId="7" type="noConversion"/>
  </si>
  <si>
    <t>中层员工人数</t>
    <phoneticPr fontId="7" type="noConversion"/>
  </si>
  <si>
    <t>普通员工人数</t>
    <phoneticPr fontId="7" type="noConversion"/>
  </si>
  <si>
    <t>中层员工人数=员工总人数*中层员工占比</t>
    <phoneticPr fontId="7" type="noConversion"/>
  </si>
  <si>
    <t>普通员工人数=员工总人数*普通员工占比</t>
    <phoneticPr fontId="7" type="noConversion"/>
  </si>
  <si>
    <r>
      <t>增加值=增加值率*</t>
    </r>
    <r>
      <rPr>
        <sz val="11"/>
        <color rgb="FF000000"/>
        <rFont val="宋体"/>
        <family val="3"/>
        <charset val="134"/>
        <scheme val="minor"/>
      </rPr>
      <t>营业收入</t>
    </r>
    <phoneticPr fontId="7" type="noConversion"/>
  </si>
  <si>
    <r>
      <t>国有银行所得税税负率=所得税</t>
    </r>
    <r>
      <rPr>
        <sz val="11"/>
        <color rgb="FF000000"/>
        <rFont val="宋体"/>
        <family val="3"/>
        <charset val="134"/>
        <scheme val="minor"/>
      </rPr>
      <t>/营业收入，建议城商行取值为4.14%，国有银行取值为8.28%；</t>
    </r>
    <phoneticPr fontId="7" type="noConversion"/>
  </si>
  <si>
    <t>企业所得税税负率</t>
    <phoneticPr fontId="7" type="noConversion"/>
  </si>
  <si>
    <r>
      <t>企业所得税=</t>
    </r>
    <r>
      <rPr>
        <sz val="11"/>
        <color rgb="FF000000"/>
        <rFont val="宋体"/>
        <family val="3"/>
        <charset val="134"/>
        <scheme val="minor"/>
      </rPr>
      <t>营业收入*企业所得税税负率</t>
    </r>
    <phoneticPr fontId="7" type="noConversion"/>
  </si>
  <si>
    <r>
      <t>税金及附加=</t>
    </r>
    <r>
      <rPr>
        <sz val="11"/>
        <color rgb="FF000000"/>
        <rFont val="宋体"/>
        <family val="3"/>
        <charset val="134"/>
        <scheme val="minor"/>
      </rPr>
      <t>营业收入*税金及附加占营收比重</t>
    </r>
    <phoneticPr fontId="7" type="noConversion"/>
  </si>
  <si>
    <r>
      <t>增值税=</t>
    </r>
    <r>
      <rPr>
        <sz val="11"/>
        <color rgb="FF000000"/>
        <rFont val="宋体"/>
        <family val="3"/>
        <charset val="134"/>
        <scheme val="minor"/>
      </rPr>
      <t>营业收入*增值税税负率</t>
    </r>
    <phoneticPr fontId="7" type="noConversion"/>
  </si>
  <si>
    <t>单位面积营业收入</t>
    <phoneticPr fontId="7" type="noConversion"/>
  </si>
  <si>
    <t>人均营业面积</t>
    <phoneticPr fontId="7" type="noConversion"/>
  </si>
  <si>
    <r>
      <t>人均营业面积=营业总面积</t>
    </r>
    <r>
      <rPr>
        <sz val="11"/>
        <color rgb="FF000000"/>
        <rFont val="宋体"/>
        <family val="3"/>
        <charset val="134"/>
        <scheme val="minor"/>
      </rPr>
      <t>/员工人数，建议取值49m2/人；</t>
    </r>
    <phoneticPr fontId="7" type="noConversion"/>
  </si>
  <si>
    <r>
      <t>人均营收=营业收入</t>
    </r>
    <r>
      <rPr>
        <sz val="11"/>
        <color rgb="FF000000"/>
        <rFont val="宋体"/>
        <family val="3"/>
        <charset val="134"/>
        <scheme val="minor"/>
      </rPr>
      <t>/员工人数，建议城商行取值302万元，国有银行取值186万元；</t>
    </r>
    <phoneticPr fontId="7" type="noConversion"/>
  </si>
  <si>
    <t>员工数测算数据</t>
    <phoneticPr fontId="7" type="noConversion"/>
  </si>
  <si>
    <t>产业发展用建筑面积（m2）</t>
    <phoneticPr fontId="7" type="noConversion"/>
  </si>
  <si>
    <t>增值税（万元）</t>
    <phoneticPr fontId="7" type="noConversion"/>
  </si>
  <si>
    <t>企业所得税（万元）</t>
    <phoneticPr fontId="7" type="noConversion"/>
  </si>
  <si>
    <t>高层员工个人所得税（万元）</t>
    <phoneticPr fontId="7" type="noConversion"/>
  </si>
  <si>
    <t>中层员工个人所得税（万元）</t>
    <phoneticPr fontId="7" type="noConversion"/>
  </si>
  <si>
    <t>普通员工个人所得税（万元）</t>
    <phoneticPr fontId="7" type="noConversion"/>
  </si>
  <si>
    <t>增加值（GDP）（亿元）</t>
    <phoneticPr fontId="7" type="noConversion"/>
  </si>
  <si>
    <t>年收入</t>
    <phoneticPr fontId="7" type="noConversion"/>
  </si>
  <si>
    <t>税率</t>
    <phoneticPr fontId="7" type="noConversion"/>
  </si>
  <si>
    <t>实际税负率</t>
    <phoneticPr fontId="7" type="noConversion"/>
  </si>
  <si>
    <t>年薪</t>
    <phoneticPr fontId="7" type="noConversion"/>
  </si>
  <si>
    <t>适用税率%</t>
    <phoneticPr fontId="7" type="noConversion"/>
  </si>
  <si>
    <t>适用税率临界点</t>
    <phoneticPr fontId="7" type="noConversion"/>
  </si>
  <si>
    <t>当地年度在岗职工月平均工资（元）</t>
    <phoneticPr fontId="7" type="noConversion"/>
  </si>
  <si>
    <t>按照各地取值；</t>
    <phoneticPr fontId="7" type="noConversion"/>
  </si>
  <si>
    <t>根据各地公布的上年职工平均薪酬；</t>
    <phoneticPr fontId="7" type="noConversion"/>
  </si>
  <si>
    <t>根据免税额度（500元）和专项附加扣除额度计算个人所得税，假设扣除子女教育、赡养老人和房屋租金，其中保险金和公积金扣除标准如下：
养老保险缴纳比例：单位缴纳14%，个人缴纳8%，共计：22%
医疗保险缴纳比例：单位缴纳比例6.2%+0.5%，个人缴纳2%，共计：8.7%
失业保险缴纳比例：单位缴纳2%，个人缴纳1%，共计：3%
工伤保险缴纳比例：单位缴纳0.4%，0.8%，1.2% ，个人不缴费。
住房公积金：单位和个人缴纳比例为5-12%，取上限12%。
缴费基数上限为上年全市在职职工薪资的3倍，下限为本市最低工资。</t>
    <phoneticPr fontId="7" type="noConversion"/>
  </si>
  <si>
    <t>取值</t>
    <phoneticPr fontId="7" type="noConversion"/>
  </si>
  <si>
    <t>（开始）</t>
    <phoneticPr fontId="7" type="noConversion"/>
  </si>
  <si>
    <t>（结束）</t>
    <phoneticPr fontId="7" type="noConversion"/>
  </si>
  <si>
    <t>同上</t>
    <phoneticPr fontId="7" type="noConversion"/>
  </si>
  <si>
    <r>
      <t>6</t>
    </r>
    <r>
      <rPr>
        <sz val="11"/>
        <color rgb="FF000000"/>
        <rFont val="宋体"/>
        <family val="3"/>
        <charset val="134"/>
        <scheme val="minor"/>
      </rPr>
      <t>家近期上市的城商行与6家国有银行2021年年报披露的高层、中层及普通员工数和总员工数。</t>
    </r>
    <r>
      <rPr>
        <sz val="11"/>
        <color theme="1"/>
        <rFont val="宋体"/>
        <family val="2"/>
        <scheme val="minor"/>
      </rPr>
      <t/>
    </r>
  </si>
  <si>
    <r>
      <t>6</t>
    </r>
    <r>
      <rPr>
        <sz val="11"/>
        <color rgb="FF000000"/>
        <rFont val="宋体"/>
        <family val="3"/>
        <charset val="134"/>
        <scheme val="minor"/>
      </rPr>
      <t>家近期上市的城商行与6家国有银行2022年年报披露的高层、中层及普通员工数和总员工数。</t>
    </r>
    <r>
      <rPr>
        <sz val="11"/>
        <color theme="1"/>
        <rFont val="宋体"/>
        <family val="2"/>
        <scheme val="minor"/>
      </rPr>
      <t/>
    </r>
  </si>
  <si>
    <r>
      <t>6</t>
    </r>
    <r>
      <rPr>
        <sz val="11"/>
        <color rgb="FF000000"/>
        <rFont val="宋体"/>
        <family val="3"/>
        <charset val="134"/>
        <scheme val="minor"/>
      </rPr>
      <t>家近期上市的城商行与6家国有银行2023年年报披露的高层、中层及普通员工数和总员工数。</t>
    </r>
    <r>
      <rPr>
        <sz val="11"/>
        <color theme="1"/>
        <rFont val="宋体"/>
        <family val="2"/>
        <scheme val="minor"/>
      </rPr>
      <t/>
    </r>
  </si>
  <si>
    <t>营业收入（亿元）-算法A</t>
    <phoneticPr fontId="7" type="noConversion"/>
  </si>
  <si>
    <t>营业收入（亿元）-算法B</t>
    <phoneticPr fontId="7" type="noConversion"/>
  </si>
  <si>
    <t>算法A：营业收入=人均营收*员工人数</t>
    <phoneticPr fontId="7" type="noConversion"/>
  </si>
  <si>
    <t>算法B：营业收入=单位建筑面积营收*建筑面积</t>
    <phoneticPr fontId="7" type="noConversion"/>
  </si>
  <si>
    <t>-</t>
    <phoneticPr fontId="7" type="noConversion"/>
  </si>
  <si>
    <t>一、营业收入测算数据</t>
    <phoneticPr fontId="7" type="noConversion"/>
  </si>
  <si>
    <t>二、薪酬测算数据</t>
    <phoneticPr fontId="7" type="noConversion"/>
  </si>
  <si>
    <t>三、税收测算数据</t>
    <phoneticPr fontId="7" type="noConversion"/>
  </si>
  <si>
    <t>四、增加值测算数据</t>
    <phoneticPr fontId="7" type="noConversion"/>
  </si>
  <si>
    <t>必填</t>
    <phoneticPr fontId="7" type="noConversion"/>
  </si>
  <si>
    <r>
      <t>《12大行招股说明书和年报》：详见6家近期上市的城商行招股说明书披露的最近年度的员工人数和营业总面积。人均营业面积取值范围可选择在45-70m</t>
    </r>
    <r>
      <rPr>
        <vertAlign val="superscript"/>
        <sz val="11"/>
        <rFont val="宋体"/>
        <family val="3"/>
        <charset val="134"/>
        <scheme val="minor"/>
      </rPr>
      <t>2</t>
    </r>
    <r>
      <rPr>
        <sz val="11"/>
        <rFont val="宋体"/>
        <family val="3"/>
        <charset val="134"/>
        <scheme val="minor"/>
      </rPr>
      <t>之间。</t>
    </r>
    <phoneticPr fontId="7" type="noConversion"/>
  </si>
  <si>
    <r>
      <t>《12大行招股说明书和年报》：6</t>
    </r>
    <r>
      <rPr>
        <sz val="11"/>
        <color rgb="FF000000"/>
        <rFont val="宋体"/>
        <family val="3"/>
        <charset val="134"/>
        <scheme val="minor"/>
      </rPr>
      <t>家近期上市的城商行与6家国有银行2020年年报披露的员工人数和营业收入。</t>
    </r>
    <phoneticPr fontId="7" type="noConversion"/>
  </si>
  <si>
    <r>
      <t>《12大行招股说明书和年报》：6</t>
    </r>
    <r>
      <rPr>
        <sz val="11"/>
        <color rgb="FF000000"/>
        <rFont val="宋体"/>
        <family val="3"/>
        <charset val="134"/>
        <scheme val="minor"/>
      </rPr>
      <t>家近期上市的城商行与6家国有银行2020年年报披露的总营业用建筑面积和营业收入。</t>
    </r>
    <phoneticPr fontId="7" type="noConversion"/>
  </si>
  <si>
    <r>
      <t>《12大行招股说明书和年报》：6</t>
    </r>
    <r>
      <rPr>
        <sz val="11"/>
        <color rgb="FF000000"/>
        <rFont val="宋体"/>
        <family val="3"/>
        <charset val="134"/>
        <scheme val="minor"/>
      </rPr>
      <t>家近期上市的城商行与6家国有银行2020年年报披露的员工人数和员工薪酬。</t>
    </r>
    <r>
      <rPr>
        <sz val="11"/>
        <rFont val="宋体"/>
        <family val="3"/>
        <charset val="134"/>
        <scheme val="minor"/>
      </rPr>
      <t>注释：六家城商行分别为长沙银行、浙商银行、东莞银行、上海银行、齐鲁银行、江苏银行；六家国有银行分别为建设银行、工商银行、农业银行、邮政储蓄银行、交通银行、中国银行。</t>
    </r>
    <phoneticPr fontId="7" type="noConversion"/>
  </si>
  <si>
    <r>
      <t>《12大行招股说明书和年报》：6</t>
    </r>
    <r>
      <rPr>
        <sz val="11"/>
        <color rgb="FF000000"/>
        <rFont val="宋体"/>
        <family val="3"/>
        <charset val="134"/>
        <scheme val="minor"/>
      </rPr>
      <t>家近期上市的城商行与6家国有银行2020年年报披露的高层、中层及普通员工人均薪酬和各层级员工人数。</t>
    </r>
    <r>
      <rPr>
        <sz val="11"/>
        <rFont val="宋体"/>
        <family val="3"/>
        <charset val="134"/>
        <scheme val="minor"/>
      </rPr>
      <t>注释：六家城商行分别为长沙银行、浙商银行、东莞银行、上海银行、齐鲁银行、江苏银行；六家国有银行分别为建设银行、工商银行、农业银行、邮政储蓄银行、交通银行、中国银行。</t>
    </r>
    <phoneticPr fontId="7" type="noConversion"/>
  </si>
  <si>
    <r>
      <t>《12大行招股说明书和年报》：6</t>
    </r>
    <r>
      <rPr>
        <sz val="11"/>
        <color rgb="FF000000"/>
        <rFont val="宋体"/>
        <family val="3"/>
        <charset val="134"/>
        <scheme val="minor"/>
      </rPr>
      <t>家近期上市的城商行与6家国有银行2020年年报披露的高层、中层及普通员工数和总员工数。</t>
    </r>
    <r>
      <rPr>
        <sz val="11"/>
        <rFont val="宋体"/>
        <family val="3"/>
        <charset val="134"/>
        <scheme val="minor"/>
      </rPr>
      <t>注释：六家城商行分别为长沙银行、浙商银行、东莞银行、上海银行、齐鲁银行、江苏银行；六家国有银行分别为建设银行、工商银行、农业银行、邮政储蓄银行、交通银行、中国银行。</t>
    </r>
    <phoneticPr fontId="7" type="noConversion"/>
  </si>
  <si>
    <r>
      <t>《12大行招股说明书和年报》：6</t>
    </r>
    <r>
      <rPr>
        <sz val="11"/>
        <color rgb="FF000000"/>
        <rFont val="宋体"/>
        <family val="3"/>
        <charset val="134"/>
        <scheme val="minor"/>
      </rPr>
      <t>家近期上市的城商行与6家国有银行年报披露的2020年增值税和营业收入。</t>
    </r>
    <phoneticPr fontId="7" type="noConversion"/>
  </si>
  <si>
    <r>
      <t>《12大行招股说明书和年报》：6</t>
    </r>
    <r>
      <rPr>
        <sz val="11"/>
        <color rgb="FF000000"/>
        <rFont val="宋体"/>
        <family val="3"/>
        <charset val="134"/>
        <scheme val="minor"/>
      </rPr>
      <t>家近期上市的城商行与6家国有银行年报披露的2020年税金及附加和营业收入。</t>
    </r>
    <phoneticPr fontId="7" type="noConversion"/>
  </si>
  <si>
    <r>
      <t>《12大行招股说明书和年报》：6</t>
    </r>
    <r>
      <rPr>
        <sz val="11"/>
        <color rgb="FF000000"/>
        <rFont val="宋体"/>
        <family val="3"/>
        <charset val="134"/>
        <scheme val="minor"/>
      </rPr>
      <t>家近期上市的城商行与6家国有银行年报披露的2020年所得税和营业收入。</t>
    </r>
    <phoneticPr fontId="7"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</si>
</sst>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5">
    <numFmt numFmtId="43" formatCode="_ * #,##0.00_ ;_ * \-#,##0.00_ ;_ * &quot;-&quot;??_ ;_ @_ "/>
    <numFmt numFmtId="176" formatCode="0.00_ "/>
    <numFmt numFmtId="177" formatCode="0.0_);[Red]\(0.0\)"/>
    <numFmt numFmtId="178" formatCode="0.0_ ;[Red]\-0.0\ "/>
    <numFmt numFmtId="179" formatCode="#,##0.0_ "/>
    <numFmt numFmtId="180" formatCode="0.00_ ;[Red]\-0.00\ "/>
    <numFmt numFmtId="181" formatCode="0.0%"/>
    <numFmt numFmtId="182" formatCode="0.000%"/>
    <numFmt numFmtId="183" formatCode="0.000"/>
    <numFmt numFmtId="184" formatCode="0.0"/>
    <numFmt numFmtId="185" formatCode="_ * #,##0.0_ ;_ * \-#,##0.0_ ;_ * &quot;-&quot;??_ ;_ @_ "/>
    <numFmt numFmtId="186" formatCode="0.0_ "/>
    <numFmt numFmtId="187" formatCode="#,##0.0"/>
    <numFmt numFmtId="188" formatCode="0.000_ "/>
    <numFmt numFmtId="189" formatCode="0_ "/>
  </numFmts>
  <fonts count="59">
    <font>
      <sz val="10"/>
      <name val="Arial"/>
      <charset val="134"/>
    </font>
    <font>
      <sz val="11"/>
      <color theme="1"/>
      <name val="宋体"/>
      <family val="2"/>
      <scheme val="minor"/>
    </font>
    <font>
      <sz val="11"/>
      <color theme="1"/>
      <name val="宋体"/>
      <family val="2"/>
      <charset val="134"/>
      <scheme val="minor"/>
    </font>
    <font>
      <sz val="11"/>
      <color theme="1"/>
      <name val="宋体"/>
      <family val="2"/>
      <scheme val="minor"/>
    </font>
    <font>
      <sz val="9"/>
      <name val="宋体"/>
      <family val="3"/>
      <charset val="134"/>
      <scheme val="minor"/>
    </font>
    <font>
      <sz val="12"/>
      <color theme="1"/>
      <name val="宋体"/>
      <family val="3"/>
      <charset val="134"/>
      <scheme val="minor"/>
    </font>
    <font>
      <sz val="10"/>
      <name val="Arial"/>
      <family val="2"/>
    </font>
    <font>
      <sz val="9"/>
      <name val="Arial"/>
      <family val="2"/>
    </font>
    <font>
      <sz val="10"/>
      <name val="宋体"/>
      <family val="3"/>
      <charset val="134"/>
    </font>
    <font>
      <sz val="12"/>
      <name val="宋体"/>
      <family val="3"/>
      <charset val="134"/>
    </font>
    <font>
      <sz val="9"/>
      <name val="宋体"/>
      <family val="3"/>
      <charset val="134"/>
    </font>
    <font>
      <sz val="12"/>
      <color rgb="FF000000"/>
      <name val="宋体"/>
      <family val="3"/>
      <charset val="134"/>
    </font>
    <font>
      <sz val="12"/>
      <name val="Arial"/>
      <family val="2"/>
    </font>
    <font>
      <b/>
      <sz val="10"/>
      <name val="宋体"/>
      <family val="3"/>
      <charset val="134"/>
    </font>
    <font>
      <sz val="10"/>
      <color rgb="FF000000"/>
      <name val="Times New Roman"/>
      <family val="1"/>
    </font>
    <font>
      <sz val="10"/>
      <name val="宋体"/>
      <family val="3"/>
      <charset val="134"/>
      <scheme val="minor"/>
    </font>
    <font>
      <sz val="11"/>
      <color indexed="8"/>
      <name val="宋体"/>
      <family val="3"/>
      <charset val="134"/>
    </font>
    <font>
      <sz val="10"/>
      <name val="宋体"/>
      <family val="2"/>
      <charset val="134"/>
    </font>
    <font>
      <sz val="11"/>
      <color theme="1"/>
      <name val="宋体"/>
      <family val="3"/>
      <charset val="134"/>
      <scheme val="minor"/>
    </font>
    <font>
      <b/>
      <sz val="10"/>
      <name val="Arial"/>
      <family val="2"/>
    </font>
    <font>
      <b/>
      <sz val="10"/>
      <name val="宋体"/>
      <family val="3"/>
      <charset val="134"/>
      <scheme val="minor"/>
    </font>
    <font>
      <b/>
      <sz val="16"/>
      <color theme="1"/>
      <name val="宋体"/>
      <family val="3"/>
      <charset val="134"/>
    </font>
    <font>
      <b/>
      <sz val="12"/>
      <name val="宋体"/>
      <family val="3"/>
      <charset val="134"/>
      <scheme val="minor"/>
    </font>
    <font>
      <sz val="12"/>
      <name val="宋体"/>
      <family val="3"/>
      <charset val="134"/>
      <scheme val="minor"/>
    </font>
    <font>
      <sz val="12"/>
      <color rgb="FF000000"/>
      <name val="宋体"/>
      <family val="3"/>
      <charset val="134"/>
      <scheme val="minor"/>
    </font>
    <font>
      <b/>
      <sz val="12"/>
      <color rgb="FF000000"/>
      <name val="宋体"/>
      <family val="3"/>
      <charset val="134"/>
      <scheme val="minor"/>
    </font>
    <font>
      <b/>
      <sz val="12"/>
      <color theme="1"/>
      <name val="宋体"/>
      <family val="3"/>
      <charset val="134"/>
      <scheme val="minor"/>
    </font>
    <font>
      <b/>
      <sz val="12"/>
      <color rgb="FF000000"/>
      <name val="宋体"/>
      <family val="3"/>
      <charset val="134"/>
    </font>
    <font>
      <sz val="12"/>
      <color rgb="FFFFFFFF"/>
      <name val="FZLTHK--GBK1-0"/>
      <family val="2"/>
    </font>
    <font>
      <sz val="12"/>
      <color rgb="FF000000"/>
      <name val="FZLTHK--GBK1-0"/>
      <family val="2"/>
    </font>
    <font>
      <sz val="10"/>
      <color rgb="FF000000"/>
      <name val="楷体_GB2312"/>
      <family val="3"/>
      <charset val="134"/>
    </font>
    <font>
      <b/>
      <sz val="12"/>
      <name val="Arial"/>
      <family val="2"/>
    </font>
    <font>
      <sz val="10"/>
      <name val="Arial"/>
      <family val="2"/>
    </font>
    <font>
      <sz val="10"/>
      <color rgb="FF121212"/>
      <name val="Arial"/>
      <family val="2"/>
    </font>
    <font>
      <sz val="11"/>
      <name val="Arial"/>
      <family val="2"/>
    </font>
    <font>
      <sz val="10"/>
      <color rgb="FF121212"/>
      <name val="宋体"/>
      <family val="3"/>
      <charset val="134"/>
    </font>
    <font>
      <sz val="11"/>
      <color rgb="FF333333"/>
      <name val="宋体"/>
      <family val="3"/>
      <charset val="134"/>
    </font>
    <font>
      <sz val="11"/>
      <color rgb="FF333333"/>
      <name val="Times New Roman"/>
      <family val="1"/>
    </font>
    <font>
      <b/>
      <sz val="11"/>
      <color rgb="FF333333"/>
      <name val="宋体"/>
      <family val="3"/>
      <charset val="134"/>
    </font>
    <font>
      <b/>
      <sz val="11"/>
      <color rgb="FF333333"/>
      <name val="Times New Roman"/>
      <family val="1"/>
    </font>
    <font>
      <sz val="10"/>
      <name val="Arial"/>
      <family val="3"/>
      <charset val="134"/>
    </font>
    <font>
      <sz val="14"/>
      <color rgb="FF000000"/>
      <name val="Segoe UI"/>
      <family val="2"/>
    </font>
    <font>
      <sz val="12"/>
      <color rgb="FF333333"/>
      <name val="Arial"/>
      <family val="2"/>
    </font>
    <font>
      <sz val="12"/>
      <color rgb="FF333333"/>
      <name val="Arial"/>
      <family val="3"/>
      <charset val="134"/>
    </font>
    <font>
      <b/>
      <sz val="10.5"/>
      <color rgb="FFFFFFFF"/>
      <name val="微软雅黑"/>
      <family val="2"/>
      <charset val="134"/>
    </font>
    <font>
      <sz val="10.5"/>
      <color rgb="FF000000"/>
      <name val="微软雅黑"/>
      <family val="2"/>
      <charset val="134"/>
    </font>
    <font>
      <sz val="9"/>
      <name val="宋体"/>
      <family val="2"/>
      <charset val="134"/>
      <scheme val="minor"/>
    </font>
    <font>
      <b/>
      <sz val="10"/>
      <color theme="1"/>
      <name val="FangSong"/>
      <family val="3"/>
      <charset val="134"/>
    </font>
    <font>
      <sz val="10"/>
      <color rgb="FF000000"/>
      <name val="FangSong"/>
      <family val="3"/>
      <charset val="134"/>
    </font>
    <font>
      <b/>
      <sz val="10"/>
      <color rgb="FF000000"/>
      <name val="FangSong"/>
      <family val="3"/>
      <charset val="134"/>
    </font>
    <font>
      <b/>
      <vertAlign val="superscript"/>
      <sz val="10.5"/>
      <color rgb="FFFFFFFF"/>
      <name val="微软雅黑"/>
      <family val="2"/>
      <charset val="134"/>
    </font>
    <font>
      <sz val="9"/>
      <color theme="1"/>
      <name val="Microsoft yahei"/>
      <family val="2"/>
      <charset val="134"/>
    </font>
    <font>
      <sz val="11"/>
      <color rgb="FF616161"/>
      <name val="宋体"/>
      <family val="3"/>
      <charset val="134"/>
    </font>
    <font>
      <b/>
      <sz val="11"/>
      <name val="宋体"/>
      <family val="3"/>
      <charset val="134"/>
      <scheme val="minor"/>
    </font>
    <font>
      <sz val="11"/>
      <name val="宋体"/>
      <family val="3"/>
      <charset val="134"/>
      <scheme val="minor"/>
    </font>
    <font>
      <vertAlign val="superscript"/>
      <sz val="11"/>
      <name val="宋体"/>
      <family val="3"/>
      <charset val="134"/>
      <scheme val="minor"/>
    </font>
    <font>
      <sz val="11"/>
      <color rgb="FF000000"/>
      <name val="宋体"/>
      <family val="3"/>
      <charset val="134"/>
      <scheme val="minor"/>
    </font>
    <font>
      <b/>
      <sz val="11"/>
      <color theme="1"/>
      <name val="宋体"/>
      <family val="3"/>
      <charset val="134"/>
      <scheme val="minor"/>
    </font>
    <font>
      <sz val="10"/>
      <name val="Microsoft YaHei UI"/>
      <family val="2"/>
      <charset val="134"/>
    </font>
  </fonts>
  <fills count="10">
    <fill>
      <patternFill patternType="none"/>
    </fill>
    <fill>
      <patternFill patternType="gray125"/>
    </fill>
    <fill>
      <patternFill patternType="solid">
        <fgColor rgb="FFFFFFFF"/>
        <bgColor indexed="64"/>
      </patternFill>
    </fill>
    <fill>
      <patternFill patternType="solid">
        <fgColor rgb="FF92D050"/>
        <bgColor indexed="64"/>
      </patternFill>
    </fill>
    <fill>
      <patternFill patternType="solid">
        <fgColor rgb="FFFFFF00"/>
        <bgColor indexed="64"/>
      </patternFill>
    </fill>
    <fill>
      <patternFill patternType="solid">
        <fgColor theme="7" tint="0.79998168889431442"/>
        <bgColor indexed="64"/>
      </patternFill>
    </fill>
    <fill>
      <patternFill patternType="solid">
        <fgColor rgb="FF012E56"/>
        <bgColor indexed="64"/>
      </patternFill>
    </fill>
    <fill>
      <patternFill patternType="solid">
        <fgColor theme="8" tint="0.79998168889431442"/>
        <bgColor indexed="64"/>
      </patternFill>
    </fill>
    <fill>
      <patternFill patternType="solid">
        <fgColor rgb="FFCCFFFF"/>
        <bgColor indexed="64"/>
      </patternFill>
    </fill>
    <fill>
      <patternFill patternType="solid">
        <fgColor rgb="FFF9F9F9"/>
        <bgColor indexed="64"/>
      </patternFill>
    </fill>
  </fills>
  <borders count="19">
    <border>
      <left/>
      <right/>
      <top/>
      <bottom/>
      <diagonal/>
    </border>
    <border>
      <left style="thin">
        <color auto="1"/>
      </left>
      <right style="thin">
        <color auto="1"/>
      </right>
      <top style="thin">
        <color auto="1"/>
      </top>
      <bottom style="thin">
        <color auto="1"/>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thin">
        <color auto="1"/>
      </right>
      <top/>
      <bottom/>
      <diagonal/>
    </border>
    <border>
      <left style="thin">
        <color auto="1"/>
      </left>
      <right/>
      <top/>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medium">
        <color rgb="FFFFFFFF"/>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style="medium">
        <color auto="1"/>
      </right>
      <top/>
      <bottom/>
      <diagonal/>
    </border>
  </borders>
  <cellStyleXfs count="15">
    <xf numFmtId="0" fontId="0" fillId="0" borderId="0">
      <alignment vertical="center"/>
    </xf>
    <xf numFmtId="9" fontId="5" fillId="0" borderId="0" applyFont="0" applyFill="0" applyBorder="0" applyAlignment="0" applyProtection="0">
      <alignment vertical="center"/>
    </xf>
    <xf numFmtId="0" fontId="6" fillId="0" borderId="0">
      <alignment vertical="center"/>
    </xf>
    <xf numFmtId="0" fontId="14" fillId="0" borderId="0"/>
    <xf numFmtId="0" fontId="9" fillId="0" borderId="0"/>
    <xf numFmtId="0" fontId="9" fillId="0" borderId="0">
      <alignment vertical="center"/>
    </xf>
    <xf numFmtId="0" fontId="3" fillId="0" borderId="0"/>
    <xf numFmtId="0" fontId="18" fillId="0" borderId="0">
      <alignment vertical="center"/>
    </xf>
    <xf numFmtId="0" fontId="18" fillId="0" borderId="0">
      <alignment vertical="center"/>
    </xf>
    <xf numFmtId="0" fontId="9" fillId="0" borderId="0">
      <alignment vertical="center"/>
    </xf>
    <xf numFmtId="0" fontId="16" fillId="0" borderId="0">
      <alignment vertical="center"/>
    </xf>
    <xf numFmtId="43" fontId="32" fillId="0" borderId="0" applyFont="0" applyFill="0" applyBorder="0" applyAlignment="0" applyProtection="0">
      <alignment vertical="center"/>
    </xf>
    <xf numFmtId="0" fontId="2" fillId="0" borderId="0">
      <alignment vertical="center"/>
    </xf>
    <xf numFmtId="9" fontId="2" fillId="0" borderId="0" applyFont="0" applyFill="0" applyBorder="0" applyAlignment="0" applyProtection="0">
      <alignment vertical="center"/>
    </xf>
    <xf numFmtId="43" fontId="2" fillId="0" borderId="0" applyFont="0" applyFill="0" applyBorder="0" applyAlignment="0" applyProtection="0">
      <alignment vertical="center"/>
    </xf>
  </cellStyleXfs>
  <cellXfs count="418">
    <xf numFmtId="0" fontId="0" fillId="0" borderId="0" xfId="0" applyFont="1">
      <alignment vertical="center"/>
    </xf>
    <xf numFmtId="0" fontId="0" fillId="0" borderId="1" xfId="0" applyFont="1" applyBorder="1">
      <alignment vertical="center"/>
    </xf>
    <xf numFmtId="0" fontId="8" fillId="0" borderId="0" xfId="0" applyFont="1">
      <alignment vertical="center"/>
    </xf>
    <xf numFmtId="0" fontId="8" fillId="0" borderId="1" xfId="0" applyFont="1" applyBorder="1" applyAlignment="1">
      <alignment horizontal="center" vertical="center" wrapText="1"/>
    </xf>
    <xf numFmtId="0" fontId="0" fillId="0" borderId="1" xfId="0" applyFont="1" applyBorder="1" applyAlignment="1">
      <alignment horizontal="center" vertical="center"/>
    </xf>
    <xf numFmtId="9" fontId="0" fillId="0" borderId="1" xfId="1" applyFont="1" applyBorder="1" applyAlignment="1">
      <alignment horizontal="center" vertical="center"/>
    </xf>
    <xf numFmtId="0" fontId="6" fillId="0" borderId="1" xfId="0" applyFont="1" applyBorder="1" applyAlignment="1">
      <alignment horizontal="center" vertical="center"/>
    </xf>
    <xf numFmtId="0" fontId="8" fillId="0" borderId="1" xfId="0" applyFont="1" applyBorder="1" applyAlignment="1">
      <alignment horizontal="center" vertical="center"/>
    </xf>
    <xf numFmtId="0" fontId="15" fillId="0" borderId="1" xfId="0" applyFont="1" applyBorder="1" applyAlignment="1">
      <alignment horizontal="center" vertical="center"/>
    </xf>
    <xf numFmtId="0" fontId="20" fillId="0" borderId="1" xfId="0" applyFont="1" applyBorder="1" applyAlignment="1">
      <alignment horizontal="center" vertical="center"/>
    </xf>
    <xf numFmtId="0" fontId="15" fillId="0" borderId="1" xfId="0" applyFont="1" applyBorder="1">
      <alignment vertical="center"/>
    </xf>
    <xf numFmtId="0" fontId="19" fillId="0" borderId="0" xfId="0" applyFont="1">
      <alignment vertical="center"/>
    </xf>
    <xf numFmtId="0" fontId="22" fillId="0" borderId="1" xfId="0" applyFont="1" applyFill="1" applyBorder="1" applyAlignment="1">
      <alignment horizontal="center" vertical="center"/>
    </xf>
    <xf numFmtId="0" fontId="22" fillId="0" borderId="1" xfId="0" applyFont="1" applyFill="1" applyBorder="1" applyAlignment="1">
      <alignment horizontal="center" vertical="center" wrapText="1"/>
    </xf>
    <xf numFmtId="176" fontId="22" fillId="0" borderId="1" xfId="0" applyNumberFormat="1" applyFont="1" applyFill="1" applyBorder="1" applyAlignment="1">
      <alignment horizontal="center" vertical="center" wrapText="1"/>
    </xf>
    <xf numFmtId="0" fontId="22" fillId="0" borderId="1" xfId="0" applyFont="1" applyBorder="1" applyAlignment="1">
      <alignment horizontal="center" vertical="center"/>
    </xf>
    <xf numFmtId="1" fontId="22" fillId="0" borderId="1" xfId="0" applyNumberFormat="1" applyFont="1" applyBorder="1" applyAlignment="1">
      <alignment horizontal="center" vertical="center"/>
    </xf>
    <xf numFmtId="176" fontId="22" fillId="0" borderId="1" xfId="0" applyNumberFormat="1" applyFont="1" applyBorder="1" applyAlignment="1">
      <alignment horizontal="center" vertical="center" wrapText="1"/>
    </xf>
    <xf numFmtId="0" fontId="23" fillId="0" borderId="1" xfId="0" applyFont="1" applyBorder="1" applyAlignment="1">
      <alignment horizontal="center" vertical="center"/>
    </xf>
    <xf numFmtId="0" fontId="24" fillId="0" borderId="1" xfId="0" applyFont="1" applyBorder="1" applyAlignment="1">
      <alignment horizontal="center" vertical="center" wrapText="1"/>
    </xf>
    <xf numFmtId="176" fontId="23" fillId="0" borderId="1" xfId="0" applyNumberFormat="1" applyFont="1" applyBorder="1" applyAlignment="1">
      <alignment horizontal="center" vertical="center"/>
    </xf>
    <xf numFmtId="0" fontId="23" fillId="0" borderId="1" xfId="0" applyFont="1" applyBorder="1" applyAlignment="1">
      <alignment horizontal="left" vertical="center" wrapText="1"/>
    </xf>
    <xf numFmtId="0" fontId="23" fillId="0" borderId="1" xfId="0" applyFont="1" applyBorder="1" applyAlignment="1">
      <alignment horizontal="justify" vertical="center"/>
    </xf>
    <xf numFmtId="0" fontId="23" fillId="0" borderId="5" xfId="0" applyFont="1" applyBorder="1" applyAlignment="1">
      <alignment horizontal="justify" vertical="center" wrapText="1"/>
    </xf>
    <xf numFmtId="0" fontId="23" fillId="0" borderId="1" xfId="0" applyFont="1" applyBorder="1" applyAlignment="1">
      <alignment horizontal="justify" vertical="center" wrapText="1"/>
    </xf>
    <xf numFmtId="0" fontId="5" fillId="0" borderId="1" xfId="0" applyFont="1" applyBorder="1" applyAlignment="1">
      <alignment horizontal="center" vertical="center"/>
    </xf>
    <xf numFmtId="176" fontId="22" fillId="0" borderId="1" xfId="0" applyNumberFormat="1" applyFont="1" applyBorder="1" applyAlignment="1">
      <alignment horizontal="center" vertical="center"/>
    </xf>
    <xf numFmtId="0" fontId="22" fillId="0" borderId="1" xfId="0" applyFont="1" applyBorder="1" applyAlignment="1">
      <alignment horizontal="center" vertical="center" wrapText="1"/>
    </xf>
    <xf numFmtId="0" fontId="23" fillId="0" borderId="1" xfId="0" applyFont="1" applyBorder="1" applyAlignment="1">
      <alignment horizontal="center" vertical="center" wrapText="1"/>
    </xf>
    <xf numFmtId="0" fontId="22" fillId="0" borderId="1" xfId="0" applyFont="1" applyBorder="1" applyAlignment="1">
      <alignment horizontal="center"/>
    </xf>
    <xf numFmtId="0" fontId="22" fillId="0" borderId="1" xfId="0" applyFont="1" applyBorder="1">
      <alignment vertical="center"/>
    </xf>
    <xf numFmtId="0" fontId="23" fillId="0" borderId="1" xfId="0" applyFont="1" applyBorder="1">
      <alignment vertical="center"/>
    </xf>
    <xf numFmtId="0" fontId="22" fillId="0" borderId="1" xfId="0" applyFont="1" applyBorder="1" applyAlignment="1"/>
    <xf numFmtId="0" fontId="25" fillId="0" borderId="1" xfId="0" applyFont="1" applyBorder="1" applyAlignment="1">
      <alignment horizontal="center" vertical="center" wrapText="1"/>
    </xf>
    <xf numFmtId="9" fontId="8" fillId="0" borderId="1" xfId="0" applyNumberFormat="1" applyFont="1" applyBorder="1" applyAlignment="1">
      <alignment horizontal="center" vertical="center"/>
    </xf>
    <xf numFmtId="2" fontId="15" fillId="0" borderId="1" xfId="0" applyNumberFormat="1" applyFont="1" applyBorder="1" applyAlignment="1">
      <alignment horizontal="center" vertical="center"/>
    </xf>
    <xf numFmtId="9" fontId="15" fillId="0" borderId="1" xfId="1" applyFont="1" applyBorder="1" applyAlignment="1">
      <alignment horizontal="center" vertical="center"/>
    </xf>
    <xf numFmtId="1" fontId="15" fillId="0" borderId="1" xfId="0" applyNumberFormat="1" applyFont="1" applyBorder="1" applyAlignment="1">
      <alignment horizontal="center" vertical="center"/>
    </xf>
    <xf numFmtId="2" fontId="24" fillId="0" borderId="1" xfId="0" applyNumberFormat="1" applyFont="1" applyBorder="1" applyAlignment="1">
      <alignment horizontal="center" vertical="center" wrapText="1"/>
    </xf>
    <xf numFmtId="0" fontId="12" fillId="0" borderId="1" xfId="0" applyFont="1" applyBorder="1">
      <alignment vertical="center"/>
    </xf>
    <xf numFmtId="0" fontId="12" fillId="0" borderId="1" xfId="0" applyFont="1" applyBorder="1" applyAlignment="1"/>
    <xf numFmtId="0" fontId="11" fillId="0" borderId="1" xfId="0" applyFont="1" applyBorder="1" applyAlignment="1">
      <alignment horizontal="center" vertical="center"/>
    </xf>
    <xf numFmtId="9" fontId="11" fillId="0" borderId="1" xfId="0" applyNumberFormat="1" applyFont="1" applyBorder="1" applyAlignment="1">
      <alignment horizontal="center" vertical="center"/>
    </xf>
    <xf numFmtId="2" fontId="11" fillId="0" borderId="1" xfId="0" applyNumberFormat="1" applyFont="1" applyBorder="1" applyAlignment="1">
      <alignment horizontal="center" vertical="center"/>
    </xf>
    <xf numFmtId="176" fontId="11" fillId="0" borderId="1" xfId="0" applyNumberFormat="1" applyFont="1" applyBorder="1" applyAlignment="1">
      <alignment horizontal="center" vertical="center"/>
    </xf>
    <xf numFmtId="0" fontId="24" fillId="0" borderId="1" xfId="0" applyFont="1" applyBorder="1" applyAlignment="1">
      <alignment horizontal="center" vertical="center"/>
    </xf>
    <xf numFmtId="2" fontId="24" fillId="0" borderId="1" xfId="0" applyNumberFormat="1" applyFont="1" applyBorder="1" applyAlignment="1">
      <alignment horizontal="center" vertical="center"/>
    </xf>
    <xf numFmtId="9" fontId="24" fillId="0" borderId="1" xfId="0" applyNumberFormat="1" applyFont="1" applyBorder="1" applyAlignment="1">
      <alignment horizontal="center" vertical="center"/>
    </xf>
    <xf numFmtId="176" fontId="24" fillId="0" borderId="1" xfId="0" applyNumberFormat="1" applyFont="1" applyBorder="1" applyAlignment="1">
      <alignment vertical="center"/>
    </xf>
    <xf numFmtId="176" fontId="24" fillId="0" borderId="1" xfId="0" applyNumberFormat="1" applyFont="1" applyBorder="1" applyAlignment="1">
      <alignment horizontal="center" vertical="center"/>
    </xf>
    <xf numFmtId="176" fontId="23" fillId="0" borderId="1" xfId="0" applyNumberFormat="1" applyFont="1" applyBorder="1">
      <alignment vertical="center"/>
    </xf>
    <xf numFmtId="0" fontId="23" fillId="0" borderId="1" xfId="0" applyFont="1" applyBorder="1" applyAlignment="1">
      <alignment horizontal="center"/>
    </xf>
    <xf numFmtId="0" fontId="22" fillId="0" borderId="1" xfId="4" applyFont="1" applyBorder="1" applyAlignment="1">
      <alignment horizontal="center" vertical="center"/>
    </xf>
    <xf numFmtId="10" fontId="23" fillId="0" borderId="1" xfId="4" applyNumberFormat="1" applyFont="1" applyBorder="1" applyAlignment="1">
      <alignment horizontal="center" vertical="center"/>
    </xf>
    <xf numFmtId="0" fontId="23" fillId="0" borderId="1" xfId="4" applyFont="1" applyBorder="1" applyAlignment="1">
      <alignment horizontal="center" vertical="center"/>
    </xf>
    <xf numFmtId="177" fontId="23" fillId="0" borderId="1" xfId="4" applyNumberFormat="1" applyFont="1" applyBorder="1" applyAlignment="1">
      <alignment horizontal="center" vertical="center"/>
    </xf>
    <xf numFmtId="177" fontId="22" fillId="0" borderId="1" xfId="4" applyNumberFormat="1" applyFont="1" applyBorder="1" applyAlignment="1">
      <alignment horizontal="center" vertical="center"/>
    </xf>
    <xf numFmtId="179" fontId="5" fillId="0" borderId="1" xfId="0" applyNumberFormat="1" applyFont="1" applyBorder="1" applyAlignment="1">
      <alignment horizontal="center" vertical="center" wrapText="1"/>
    </xf>
    <xf numFmtId="0" fontId="23" fillId="4" borderId="1" xfId="4" applyFont="1" applyFill="1" applyBorder="1" applyAlignment="1">
      <alignment horizontal="center" vertical="center"/>
    </xf>
    <xf numFmtId="0" fontId="22" fillId="4" borderId="1" xfId="4" applyFont="1" applyFill="1" applyBorder="1" applyAlignment="1">
      <alignment horizontal="center" vertical="center"/>
    </xf>
    <xf numFmtId="177" fontId="22" fillId="4" borderId="1" xfId="4" applyNumberFormat="1" applyFont="1" applyFill="1" applyBorder="1" applyAlignment="1">
      <alignment horizontal="center" vertical="center"/>
    </xf>
    <xf numFmtId="0" fontId="23" fillId="0" borderId="0" xfId="0" applyFont="1" applyAlignment="1"/>
    <xf numFmtId="180" fontId="23" fillId="0" borderId="1" xfId="5" applyNumberFormat="1" applyFont="1" applyBorder="1" applyAlignment="1">
      <alignment horizontal="center" vertical="center" wrapText="1"/>
    </xf>
    <xf numFmtId="178" fontId="23" fillId="0" borderId="1" xfId="5" applyNumberFormat="1" applyFont="1" applyBorder="1" applyAlignment="1">
      <alignment horizontal="center" vertical="center" wrapText="1"/>
    </xf>
    <xf numFmtId="178" fontId="23" fillId="4" borderId="1" xfId="5" applyNumberFormat="1" applyFont="1" applyFill="1" applyBorder="1" applyAlignment="1">
      <alignment horizontal="center" vertical="center" wrapText="1"/>
    </xf>
    <xf numFmtId="0" fontId="27" fillId="0" borderId="1" xfId="0" applyFont="1" applyBorder="1" applyAlignment="1">
      <alignment horizontal="center" vertical="center" wrapText="1"/>
    </xf>
    <xf numFmtId="0" fontId="11" fillId="0" borderId="1" xfId="0" applyFont="1" applyBorder="1" applyAlignment="1">
      <alignment horizontal="center" vertical="center" wrapText="1"/>
    </xf>
    <xf numFmtId="2" fontId="11" fillId="0" borderId="1" xfId="0" applyNumberFormat="1" applyFont="1" applyBorder="1" applyAlignment="1">
      <alignment horizontal="center" vertical="center" wrapText="1"/>
    </xf>
    <xf numFmtId="176" fontId="11" fillId="0" borderId="1" xfId="0" applyNumberFormat="1" applyFont="1" applyBorder="1" applyAlignment="1">
      <alignment horizontal="center" vertical="center" wrapText="1"/>
    </xf>
    <xf numFmtId="0" fontId="27" fillId="0" borderId="1" xfId="0" applyFont="1" applyBorder="1" applyAlignment="1">
      <alignment horizontal="center" vertical="center"/>
    </xf>
    <xf numFmtId="1" fontId="11" fillId="0" borderId="1" xfId="0" applyNumberFormat="1" applyFont="1" applyBorder="1" applyAlignment="1">
      <alignment horizontal="center" vertical="center"/>
    </xf>
    <xf numFmtId="2" fontId="23" fillId="0" borderId="1" xfId="0" applyNumberFormat="1" applyFont="1" applyBorder="1" applyAlignment="1">
      <alignment horizontal="center" vertical="center" wrapText="1"/>
    </xf>
    <xf numFmtId="0" fontId="11" fillId="0" borderId="1" xfId="0" applyFont="1" applyFill="1" applyBorder="1" applyAlignment="1">
      <alignment horizontal="center" vertical="center" wrapText="1"/>
    </xf>
    <xf numFmtId="0" fontId="11" fillId="0" borderId="1" xfId="0" applyFont="1" applyFill="1" applyBorder="1" applyAlignment="1">
      <alignment horizontal="center" vertical="center"/>
    </xf>
    <xf numFmtId="2" fontId="11" fillId="0" borderId="1" xfId="0" applyNumberFormat="1" applyFont="1" applyFill="1" applyBorder="1" applyAlignment="1">
      <alignment horizontal="center" vertical="center" wrapText="1"/>
    </xf>
    <xf numFmtId="2" fontId="11" fillId="0" borderId="1" xfId="0" applyNumberFormat="1" applyFont="1" applyFill="1" applyBorder="1" applyAlignment="1">
      <alignment horizontal="center" vertical="center"/>
    </xf>
    <xf numFmtId="1" fontId="11" fillId="0" borderId="1" xfId="0" applyNumberFormat="1" applyFont="1" applyFill="1" applyBorder="1" applyAlignment="1">
      <alignment horizontal="center" vertical="center"/>
    </xf>
    <xf numFmtId="2" fontId="24" fillId="0" borderId="1" xfId="0" applyNumberFormat="1" applyFont="1" applyFill="1" applyBorder="1" applyAlignment="1">
      <alignment horizontal="center" vertical="center" wrapText="1"/>
    </xf>
    <xf numFmtId="176" fontId="24" fillId="0" borderId="1" xfId="0" applyNumberFormat="1" applyFont="1" applyFill="1" applyBorder="1" applyAlignment="1">
      <alignment horizontal="center" vertical="center" wrapText="1"/>
    </xf>
    <xf numFmtId="0" fontId="25" fillId="0" borderId="1" xfId="0" applyFont="1" applyFill="1" applyBorder="1" applyAlignment="1">
      <alignment horizontal="center" vertical="center" wrapText="1"/>
    </xf>
    <xf numFmtId="10" fontId="0" fillId="0" borderId="0" xfId="1" applyNumberFormat="1" applyFont="1">
      <alignment vertical="center"/>
    </xf>
    <xf numFmtId="0" fontId="27" fillId="0" borderId="1" xfId="0" applyFont="1" applyBorder="1" applyAlignment="1">
      <alignment horizontal="center" vertical="center"/>
    </xf>
    <xf numFmtId="0" fontId="8" fillId="0" borderId="0" xfId="0" applyFont="1" applyAlignment="1">
      <alignment horizontal="center" vertical="center"/>
    </xf>
    <xf numFmtId="0" fontId="0" fillId="0" borderId="0" xfId="0" applyFont="1" applyAlignment="1">
      <alignment horizontal="center" vertical="center"/>
    </xf>
    <xf numFmtId="0" fontId="29" fillId="0" borderId="0" xfId="0" applyFont="1">
      <alignment vertical="center"/>
    </xf>
    <xf numFmtId="0" fontId="6" fillId="0" borderId="0" xfId="0" applyFont="1" applyAlignment="1">
      <alignment horizontal="center" vertical="center"/>
    </xf>
    <xf numFmtId="0" fontId="8" fillId="0" borderId="0" xfId="0" applyFont="1" applyAlignment="1">
      <alignment horizontal="center" vertical="center" wrapText="1"/>
    </xf>
    <xf numFmtId="0" fontId="6" fillId="0" borderId="0" xfId="0" applyFont="1" applyAlignment="1">
      <alignment horizontal="center" vertical="center" wrapText="1"/>
    </xf>
    <xf numFmtId="0" fontId="23" fillId="0" borderId="1" xfId="0" applyFont="1" applyBorder="1" applyAlignment="1">
      <alignment horizontal="center" vertical="center"/>
    </xf>
    <xf numFmtId="9" fontId="0" fillId="0" borderId="1" xfId="0" applyNumberFormat="1" applyFont="1" applyBorder="1" applyAlignment="1">
      <alignment horizontal="center" vertical="center"/>
    </xf>
    <xf numFmtId="10" fontId="0" fillId="0" borderId="1" xfId="0" applyNumberFormat="1" applyFont="1" applyBorder="1" applyAlignment="1">
      <alignment horizontal="center" vertical="center"/>
    </xf>
    <xf numFmtId="0" fontId="30" fillId="0" borderId="1" xfId="0" applyFont="1" applyBorder="1" applyAlignment="1">
      <alignment horizontal="center" vertical="center" wrapText="1"/>
    </xf>
    <xf numFmtId="0" fontId="30" fillId="0" borderId="0" xfId="0" applyFont="1" applyAlignment="1">
      <alignment horizontal="center" vertical="center"/>
    </xf>
    <xf numFmtId="2" fontId="0" fillId="0" borderId="0" xfId="0" applyNumberFormat="1" applyFont="1" applyAlignment="1">
      <alignment horizontal="center" vertical="center"/>
    </xf>
    <xf numFmtId="0" fontId="11" fillId="5" borderId="1" xfId="0" applyFont="1" applyFill="1" applyBorder="1" applyAlignment="1">
      <alignment horizontal="center" vertical="center"/>
    </xf>
    <xf numFmtId="0" fontId="11" fillId="5" borderId="1" xfId="0" applyFont="1" applyFill="1" applyBorder="1" applyAlignment="1">
      <alignment horizontal="center" vertical="center" wrapText="1"/>
    </xf>
    <xf numFmtId="0" fontId="12" fillId="5" borderId="1" xfId="0" applyFont="1" applyFill="1" applyBorder="1" applyAlignment="1"/>
    <xf numFmtId="0" fontId="27" fillId="5" borderId="1" xfId="0" applyFont="1" applyFill="1" applyBorder="1" applyAlignment="1">
      <alignment horizontal="center" vertical="center"/>
    </xf>
    <xf numFmtId="0" fontId="27" fillId="5" borderId="1" xfId="0" applyFont="1" applyFill="1" applyBorder="1" applyAlignment="1">
      <alignment horizontal="center" vertical="center" wrapText="1"/>
    </xf>
    <xf numFmtId="0" fontId="31" fillId="5" borderId="1" xfId="0" applyFont="1" applyFill="1" applyBorder="1" applyAlignment="1"/>
    <xf numFmtId="0" fontId="8" fillId="0" borderId="1" xfId="4" applyFont="1" applyBorder="1" applyAlignment="1">
      <alignment vertical="center"/>
    </xf>
    <xf numFmtId="0" fontId="8" fillId="0" borderId="1" xfId="4" applyFont="1" applyBorder="1" applyAlignment="1">
      <alignment horizontal="center" vertical="center"/>
    </xf>
    <xf numFmtId="177" fontId="6" fillId="0" borderId="1" xfId="4" applyNumberFormat="1" applyFont="1" applyBorder="1" applyAlignment="1">
      <alignment horizontal="center" vertical="center"/>
    </xf>
    <xf numFmtId="177" fontId="12" fillId="0" borderId="1" xfId="4" applyNumberFormat="1" applyFont="1" applyBorder="1" applyAlignment="1">
      <alignment horizontal="center" vertical="center"/>
    </xf>
    <xf numFmtId="9" fontId="11" fillId="0" borderId="1" xfId="1" applyFont="1" applyFill="1" applyBorder="1" applyAlignment="1">
      <alignment horizontal="center" vertical="center" wrapText="1"/>
    </xf>
    <xf numFmtId="0" fontId="28" fillId="0" borderId="1" xfId="0" applyFont="1" applyBorder="1" applyAlignment="1">
      <alignment horizontal="center" vertical="center"/>
    </xf>
    <xf numFmtId="0" fontId="6" fillId="0" borderId="1" xfId="0" applyFont="1" applyBorder="1" applyAlignment="1">
      <alignment horizontal="center" vertical="center" wrapText="1"/>
    </xf>
    <xf numFmtId="0" fontId="8" fillId="0" borderId="0" xfId="0" applyFont="1" applyBorder="1" applyAlignment="1">
      <alignment horizontal="center" vertical="center" wrapText="1"/>
    </xf>
    <xf numFmtId="0" fontId="8" fillId="0" borderId="0" xfId="0" applyFont="1" applyBorder="1" applyAlignment="1">
      <alignment horizontal="center" vertical="center"/>
    </xf>
    <xf numFmtId="0" fontId="8" fillId="0" borderId="1" xfId="0" applyFont="1" applyBorder="1" applyAlignment="1">
      <alignment horizontal="center" vertical="center" wrapText="1"/>
    </xf>
    <xf numFmtId="0" fontId="15" fillId="0" borderId="0" xfId="0" applyFont="1" applyBorder="1" applyAlignment="1">
      <alignment horizontal="center" vertical="center"/>
    </xf>
    <xf numFmtId="0" fontId="15" fillId="0" borderId="0" xfId="0" applyFont="1" applyBorder="1">
      <alignment vertical="center"/>
    </xf>
    <xf numFmtId="9" fontId="15" fillId="0" borderId="0" xfId="1" applyFont="1" applyBorder="1" applyAlignment="1">
      <alignment horizontal="center" vertical="center"/>
    </xf>
    <xf numFmtId="0" fontId="8" fillId="0" borderId="1" xfId="0" applyFont="1" applyBorder="1" applyAlignment="1">
      <alignment horizontal="center" vertical="center" wrapText="1"/>
    </xf>
    <xf numFmtId="0" fontId="8" fillId="0" borderId="1" xfId="0" applyFont="1" applyBorder="1" applyAlignment="1">
      <alignment horizontal="center" vertical="center"/>
    </xf>
    <xf numFmtId="0" fontId="23" fillId="0" borderId="1" xfId="0" applyFont="1" applyBorder="1" applyAlignment="1">
      <alignment horizontal="center" vertical="center"/>
    </xf>
    <xf numFmtId="0" fontId="17" fillId="0" borderId="1" xfId="0" applyFont="1" applyBorder="1" applyAlignment="1">
      <alignment horizontal="center" vertical="center"/>
    </xf>
    <xf numFmtId="10" fontId="8" fillId="0" borderId="1" xfId="0" applyNumberFormat="1" applyFont="1" applyBorder="1" applyAlignment="1">
      <alignment horizontal="center" vertical="center" wrapText="1"/>
    </xf>
    <xf numFmtId="9" fontId="8" fillId="0" borderId="1" xfId="0" applyNumberFormat="1" applyFont="1" applyBorder="1" applyAlignment="1">
      <alignment horizontal="center" vertical="center" wrapText="1"/>
    </xf>
    <xf numFmtId="0" fontId="8" fillId="0" borderId="1" xfId="0" applyFont="1" applyBorder="1" applyAlignment="1">
      <alignment horizontal="center" vertical="center" wrapText="1"/>
    </xf>
    <xf numFmtId="0" fontId="8" fillId="0" borderId="1" xfId="0" applyFont="1" applyBorder="1" applyAlignment="1">
      <alignment horizontal="center" vertical="center"/>
    </xf>
    <xf numFmtId="0" fontId="0" fillId="0" borderId="1" xfId="0" applyFont="1" applyBorder="1" applyAlignment="1">
      <alignment horizontal="center" vertical="center"/>
    </xf>
    <xf numFmtId="0" fontId="8" fillId="0" borderId="5" xfId="0" applyFont="1" applyBorder="1" applyAlignment="1">
      <alignment horizontal="center" vertical="center"/>
    </xf>
    <xf numFmtId="0" fontId="23" fillId="0" borderId="1" xfId="0" applyFont="1" applyBorder="1" applyAlignment="1">
      <alignment horizontal="center" vertical="center" wrapText="1"/>
    </xf>
    <xf numFmtId="0" fontId="22" fillId="0" borderId="1" xfId="0" applyFont="1" applyBorder="1" applyAlignment="1">
      <alignment horizontal="center" vertical="center"/>
    </xf>
    <xf numFmtId="0" fontId="22" fillId="0" borderId="2" xfId="0" applyFont="1" applyBorder="1" applyAlignment="1">
      <alignment horizontal="center" vertical="center"/>
    </xf>
    <xf numFmtId="0" fontId="22" fillId="0" borderId="3" xfId="0" applyFont="1" applyBorder="1" applyAlignment="1">
      <alignment horizontal="center" vertical="center"/>
    </xf>
    <xf numFmtId="0" fontId="22" fillId="0" borderId="4" xfId="0" applyFont="1" applyBorder="1" applyAlignment="1">
      <alignment horizontal="center" vertical="center"/>
    </xf>
    <xf numFmtId="0" fontId="22" fillId="0" borderId="1" xfId="0" applyFont="1" applyBorder="1" applyAlignment="1">
      <alignment horizontal="center" vertical="center"/>
    </xf>
    <xf numFmtId="0" fontId="34" fillId="2" borderId="0" xfId="0" applyFont="1" applyFill="1">
      <alignment vertical="center"/>
    </xf>
    <xf numFmtId="0" fontId="33" fillId="2" borderId="1" xfId="0" applyFont="1" applyFill="1" applyBorder="1" applyAlignment="1">
      <alignment horizontal="center" vertical="center" wrapText="1"/>
    </xf>
    <xf numFmtId="0" fontId="6" fillId="2" borderId="1" xfId="0" applyFont="1" applyFill="1" applyBorder="1" applyAlignment="1">
      <alignment horizontal="center" vertical="center"/>
    </xf>
    <xf numFmtId="0" fontId="6" fillId="0" borderId="0" xfId="0" applyFont="1">
      <alignment vertical="center"/>
    </xf>
    <xf numFmtId="0" fontId="33" fillId="2" borderId="7" xfId="0" applyFont="1" applyFill="1" applyBorder="1" applyAlignment="1">
      <alignment horizontal="center" vertical="center" wrapText="1"/>
    </xf>
    <xf numFmtId="2" fontId="0" fillId="4" borderId="0" xfId="0" applyNumberFormat="1" applyFont="1" applyFill="1" applyAlignment="1">
      <alignment horizontal="center" vertical="center"/>
    </xf>
    <xf numFmtId="0" fontId="8" fillId="0" borderId="5" xfId="0" applyFont="1" applyBorder="1" applyAlignment="1">
      <alignment horizontal="center" vertical="center" wrapText="1"/>
    </xf>
    <xf numFmtId="183" fontId="0" fillId="0" borderId="0" xfId="0" applyNumberFormat="1" applyFont="1" applyAlignment="1">
      <alignment horizontal="center" vertical="center"/>
    </xf>
    <xf numFmtId="9" fontId="8" fillId="0" borderId="0" xfId="0" applyNumberFormat="1" applyFont="1" applyBorder="1" applyAlignment="1">
      <alignment horizontal="center" vertical="center" wrapText="1"/>
    </xf>
    <xf numFmtId="0" fontId="0" fillId="0" borderId="0" xfId="0" applyFont="1" applyBorder="1">
      <alignment vertical="center"/>
    </xf>
    <xf numFmtId="2" fontId="0" fillId="0" borderId="1" xfId="0" applyNumberFormat="1" applyFont="1" applyBorder="1" applyAlignment="1">
      <alignment horizontal="center" vertical="center"/>
    </xf>
    <xf numFmtId="2" fontId="0" fillId="0" borderId="4" xfId="0" applyNumberFormat="1" applyFont="1" applyBorder="1" applyAlignment="1">
      <alignment horizontal="center" vertical="center"/>
    </xf>
    <xf numFmtId="183" fontId="0" fillId="0" borderId="1" xfId="0" applyNumberFormat="1" applyFont="1" applyBorder="1" applyAlignment="1">
      <alignment horizontal="center" vertical="center"/>
    </xf>
    <xf numFmtId="4" fontId="0" fillId="0" borderId="0" xfId="0" applyNumberFormat="1" applyFont="1" applyAlignment="1">
      <alignment horizontal="center" vertical="center"/>
    </xf>
    <xf numFmtId="3" fontId="0" fillId="0" borderId="0" xfId="0" applyNumberFormat="1" applyFont="1" applyAlignment="1">
      <alignment horizontal="center" vertical="center"/>
    </xf>
    <xf numFmtId="182" fontId="0" fillId="0" borderId="0" xfId="1" applyNumberFormat="1" applyFont="1">
      <alignment vertical="center"/>
    </xf>
    <xf numFmtId="181" fontId="0" fillId="0" borderId="0" xfId="1" applyNumberFormat="1" applyFont="1" applyAlignment="1">
      <alignment horizontal="center" vertical="center"/>
    </xf>
    <xf numFmtId="183" fontId="0" fillId="0" borderId="0" xfId="0" applyNumberFormat="1" applyFont="1" applyBorder="1" applyAlignment="1">
      <alignment horizontal="center" vertical="center"/>
    </xf>
    <xf numFmtId="10" fontId="8" fillId="0" borderId="1" xfId="0" applyNumberFormat="1" applyFont="1" applyBorder="1" applyAlignment="1">
      <alignment horizontal="center" vertical="center"/>
    </xf>
    <xf numFmtId="10" fontId="8" fillId="0" borderId="1" xfId="1" applyNumberFormat="1" applyFont="1" applyBorder="1" applyAlignment="1">
      <alignment horizontal="center" vertical="center"/>
    </xf>
    <xf numFmtId="0" fontId="8" fillId="0" borderId="0" xfId="0" applyFont="1" applyBorder="1" applyAlignment="1">
      <alignment vertical="center" wrapText="1"/>
    </xf>
    <xf numFmtId="10" fontId="0" fillId="0" borderId="0" xfId="0" applyNumberFormat="1" applyFont="1" applyAlignment="1">
      <alignment horizontal="center" vertical="center"/>
    </xf>
    <xf numFmtId="184" fontId="0" fillId="0" borderId="0" xfId="0" applyNumberFormat="1" applyFont="1" applyAlignment="1">
      <alignment horizontal="center" vertical="center"/>
    </xf>
    <xf numFmtId="43" fontId="0" fillId="0" borderId="0" xfId="11" applyFont="1" applyAlignment="1">
      <alignment horizontal="center" vertical="center"/>
    </xf>
    <xf numFmtId="181" fontId="8" fillId="0" borderId="1" xfId="1" applyNumberFormat="1" applyFont="1" applyBorder="1" applyAlignment="1">
      <alignment horizontal="center" vertical="center" wrapText="1"/>
    </xf>
    <xf numFmtId="0" fontId="37" fillId="2" borderId="1" xfId="0" applyFont="1" applyFill="1" applyBorder="1" applyAlignment="1">
      <alignment horizontal="center" vertical="center" wrapText="1"/>
    </xf>
    <xf numFmtId="0" fontId="38" fillId="2" borderId="1" xfId="0" applyFont="1" applyFill="1" applyBorder="1" applyAlignment="1">
      <alignment horizontal="center" vertical="center" wrapText="1"/>
    </xf>
    <xf numFmtId="0" fontId="36" fillId="2" borderId="1" xfId="0" applyFont="1" applyFill="1" applyBorder="1" applyAlignment="1">
      <alignment horizontal="center" vertical="center" wrapText="1"/>
    </xf>
    <xf numFmtId="0" fontId="38" fillId="2" borderId="1" xfId="0" applyFont="1" applyFill="1" applyBorder="1" applyAlignment="1">
      <alignment horizontal="right" vertical="center" wrapText="1"/>
    </xf>
    <xf numFmtId="2" fontId="37" fillId="2" borderId="1" xfId="0" applyNumberFormat="1" applyFont="1" applyFill="1" applyBorder="1" applyAlignment="1">
      <alignment horizontal="center" vertical="center" wrapText="1"/>
    </xf>
    <xf numFmtId="0" fontId="39" fillId="2" borderId="1" xfId="0" applyFont="1" applyFill="1" applyBorder="1" applyAlignment="1">
      <alignment horizontal="center" vertical="center" wrapText="1"/>
    </xf>
    <xf numFmtId="1" fontId="0" fillId="0" borderId="0" xfId="0" applyNumberFormat="1" applyFont="1" applyAlignment="1">
      <alignment horizontal="center" vertical="center"/>
    </xf>
    <xf numFmtId="2" fontId="8" fillId="0" borderId="1" xfId="0" applyNumberFormat="1" applyFont="1" applyBorder="1" applyAlignment="1">
      <alignment horizontal="center" vertical="center" wrapText="1"/>
    </xf>
    <xf numFmtId="185" fontId="0" fillId="0" borderId="0" xfId="11" applyNumberFormat="1" applyFont="1" applyAlignment="1">
      <alignment horizontal="center" vertical="center"/>
    </xf>
    <xf numFmtId="183" fontId="15" fillId="0" borderId="1" xfId="0" applyNumberFormat="1" applyFont="1" applyBorder="1" applyAlignment="1">
      <alignment horizontal="center" vertical="center"/>
    </xf>
    <xf numFmtId="0" fontId="26" fillId="0" borderId="1" xfId="0" applyFont="1" applyBorder="1" applyAlignment="1">
      <alignment horizontal="center" vertical="center" wrapText="1"/>
    </xf>
    <xf numFmtId="2" fontId="12" fillId="0" borderId="1" xfId="0" applyNumberFormat="1" applyFont="1" applyBorder="1" applyAlignment="1"/>
    <xf numFmtId="2" fontId="27" fillId="5" borderId="1" xfId="0" applyNumberFormat="1" applyFont="1" applyFill="1" applyBorder="1" applyAlignment="1">
      <alignment horizontal="center" vertical="center"/>
    </xf>
    <xf numFmtId="2" fontId="31" fillId="5" borderId="1" xfId="0" applyNumberFormat="1" applyFont="1" applyFill="1" applyBorder="1" applyAlignment="1"/>
    <xf numFmtId="0" fontId="8" fillId="0" borderId="0" xfId="0" applyFont="1" applyAlignment="1">
      <alignment vertical="center" wrapText="1"/>
    </xf>
    <xf numFmtId="0" fontId="8" fillId="0" borderId="1" xfId="0" applyFont="1" applyBorder="1" applyAlignment="1">
      <alignment horizontal="center" vertical="center" wrapText="1"/>
    </xf>
    <xf numFmtId="0" fontId="8" fillId="0" borderId="1" xfId="0" applyFont="1" applyBorder="1" applyAlignment="1">
      <alignment horizontal="center" vertical="center"/>
    </xf>
    <xf numFmtId="0" fontId="0" fillId="0" borderId="1" xfId="0" applyFont="1" applyBorder="1" applyAlignment="1">
      <alignment horizontal="center" vertical="center"/>
    </xf>
    <xf numFmtId="2" fontId="0" fillId="0" borderId="1" xfId="0" applyNumberFormat="1" applyFont="1" applyBorder="1" applyAlignment="1">
      <alignment horizontal="center" vertical="center"/>
    </xf>
    <xf numFmtId="1" fontId="0" fillId="0" borderId="1" xfId="0" applyNumberFormat="1" applyFont="1" applyBorder="1" applyAlignment="1">
      <alignment horizontal="center" vertical="center"/>
    </xf>
    <xf numFmtId="0" fontId="8" fillId="0" borderId="0" xfId="0" applyFont="1" applyAlignment="1">
      <alignment horizontal="center" vertical="center"/>
    </xf>
    <xf numFmtId="0" fontId="8" fillId="0" borderId="1" xfId="0" applyFont="1" applyBorder="1" applyAlignment="1">
      <alignment vertical="center" wrapText="1"/>
    </xf>
    <xf numFmtId="184" fontId="0" fillId="0" borderId="1" xfId="0" applyNumberFormat="1" applyFont="1" applyBorder="1" applyAlignment="1">
      <alignment horizontal="center" vertical="center"/>
    </xf>
    <xf numFmtId="184" fontId="6" fillId="0" borderId="1" xfId="0" applyNumberFormat="1" applyFont="1" applyBorder="1" applyAlignment="1">
      <alignment horizontal="center" vertical="center"/>
    </xf>
    <xf numFmtId="3" fontId="0" fillId="0" borderId="0" xfId="0" applyNumberFormat="1" applyFont="1">
      <alignment vertical="center"/>
    </xf>
    <xf numFmtId="1" fontId="0" fillId="0" borderId="1" xfId="0" applyNumberFormat="1" applyFont="1" applyFill="1" applyBorder="1" applyAlignment="1">
      <alignment horizontal="center" vertical="center"/>
    </xf>
    <xf numFmtId="1" fontId="6" fillId="0" borderId="1" xfId="0" applyNumberFormat="1" applyFont="1" applyFill="1" applyBorder="1" applyAlignment="1">
      <alignment horizontal="center" vertical="center"/>
    </xf>
    <xf numFmtId="0" fontId="8" fillId="0" borderId="1" xfId="0" applyFont="1" applyFill="1" applyBorder="1" applyAlignment="1">
      <alignment horizontal="center" vertical="center" wrapText="1"/>
    </xf>
    <xf numFmtId="181" fontId="0" fillId="0" borderId="1" xfId="1" applyNumberFormat="1" applyFont="1" applyBorder="1" applyAlignment="1">
      <alignment horizontal="center" vertical="center"/>
    </xf>
    <xf numFmtId="1" fontId="6" fillId="0" borderId="1" xfId="0" applyNumberFormat="1" applyFont="1" applyBorder="1" applyAlignment="1">
      <alignment horizontal="center" vertical="center"/>
    </xf>
    <xf numFmtId="0" fontId="2" fillId="0" borderId="0" xfId="12">
      <alignment vertical="center"/>
    </xf>
    <xf numFmtId="2" fontId="0" fillId="0" borderId="1" xfId="0" applyNumberFormat="1" applyFont="1" applyFill="1" applyBorder="1" applyAlignment="1">
      <alignment horizontal="center" vertical="center"/>
    </xf>
    <xf numFmtId="3" fontId="0" fillId="0" borderId="1" xfId="0" applyNumberFormat="1" applyFont="1" applyBorder="1" applyAlignment="1">
      <alignment horizontal="center" vertical="center"/>
    </xf>
    <xf numFmtId="0" fontId="8" fillId="0" borderId="1" xfId="0" applyFont="1" applyBorder="1" applyAlignment="1">
      <alignment horizontal="center" vertical="center"/>
    </xf>
    <xf numFmtId="0" fontId="0" fillId="0" borderId="1" xfId="0" applyFont="1" applyBorder="1" applyAlignment="1">
      <alignment horizontal="center" vertical="center"/>
    </xf>
    <xf numFmtId="1" fontId="0" fillId="0" borderId="1" xfId="0" applyNumberFormat="1" applyFont="1" applyBorder="1" applyAlignment="1">
      <alignment horizontal="center" vertical="center"/>
    </xf>
    <xf numFmtId="0" fontId="8" fillId="0" borderId="1" xfId="0" applyFont="1" applyBorder="1" applyAlignment="1">
      <alignment horizontal="center" vertical="center"/>
    </xf>
    <xf numFmtId="0" fontId="0" fillId="0" borderId="1" xfId="0" applyFont="1" applyBorder="1" applyAlignment="1">
      <alignment horizontal="center" vertical="center"/>
    </xf>
    <xf numFmtId="0" fontId="8" fillId="0" borderId="0" xfId="0" applyFont="1" applyAlignment="1">
      <alignment horizontal="center" vertical="center"/>
    </xf>
    <xf numFmtId="0" fontId="23" fillId="0" borderId="1" xfId="0" applyFont="1" applyBorder="1" applyAlignment="1">
      <alignment horizontal="center" vertical="center" wrapText="1"/>
    </xf>
    <xf numFmtId="0" fontId="22" fillId="0" borderId="1" xfId="0" applyFont="1" applyBorder="1" applyAlignment="1">
      <alignment horizontal="center" vertical="center"/>
    </xf>
    <xf numFmtId="0" fontId="23" fillId="0" borderId="1" xfId="0" applyFont="1" applyBorder="1" applyAlignment="1">
      <alignment horizontal="center" vertical="center"/>
    </xf>
    <xf numFmtId="0" fontId="20" fillId="0" borderId="0" xfId="0" applyFont="1" applyBorder="1" applyAlignment="1">
      <alignment horizontal="center" vertical="center"/>
    </xf>
    <xf numFmtId="0" fontId="13" fillId="0" borderId="0" xfId="0" applyFont="1" applyAlignment="1">
      <alignment horizontal="center" vertical="center"/>
    </xf>
    <xf numFmtId="0" fontId="20" fillId="0" borderId="5" xfId="0" applyFont="1" applyBorder="1" applyAlignment="1">
      <alignment horizontal="center" vertical="center"/>
    </xf>
    <xf numFmtId="10" fontId="0" fillId="0" borderId="1" xfId="1" applyNumberFormat="1" applyFont="1" applyBorder="1" applyAlignment="1">
      <alignment horizontal="center" vertical="center"/>
    </xf>
    <xf numFmtId="183" fontId="15" fillId="0" borderId="0" xfId="0" applyNumberFormat="1" applyFont="1" applyBorder="1" applyAlignment="1">
      <alignment horizontal="center" vertical="center"/>
    </xf>
    <xf numFmtId="0" fontId="8" fillId="0" borderId="1" xfId="0" applyFont="1" applyBorder="1" applyAlignment="1">
      <alignment horizontal="center" vertical="center"/>
    </xf>
    <xf numFmtId="0" fontId="0" fillId="0" borderId="1" xfId="0" applyFont="1" applyBorder="1" applyAlignment="1">
      <alignment horizontal="center" vertical="center"/>
    </xf>
    <xf numFmtId="0" fontId="22" fillId="0" borderId="1" xfId="0" applyFont="1" applyBorder="1" applyAlignment="1">
      <alignment horizontal="center" vertical="center"/>
    </xf>
    <xf numFmtId="0" fontId="23" fillId="0" borderId="1" xfId="0" applyFont="1" applyBorder="1" applyAlignment="1">
      <alignment horizontal="center" vertical="center"/>
    </xf>
    <xf numFmtId="0" fontId="27" fillId="0" borderId="1" xfId="0" applyFont="1" applyBorder="1" applyAlignment="1">
      <alignment horizontal="center" vertical="center"/>
    </xf>
    <xf numFmtId="9" fontId="0" fillId="0" borderId="0" xfId="0" applyNumberFormat="1" applyFont="1" applyAlignment="1">
      <alignment horizontal="center" vertical="center"/>
    </xf>
    <xf numFmtId="187" fontId="0" fillId="0" borderId="1" xfId="0" applyNumberFormat="1" applyFont="1" applyBorder="1" applyAlignment="1">
      <alignment horizontal="center" vertical="center"/>
    </xf>
    <xf numFmtId="0" fontId="8" fillId="0" borderId="1" xfId="0" applyFont="1" applyBorder="1">
      <alignment vertical="center"/>
    </xf>
    <xf numFmtId="0" fontId="24" fillId="0" borderId="1" xfId="0" applyFont="1" applyFill="1" applyBorder="1" applyAlignment="1">
      <alignment horizontal="center" vertical="center" wrapText="1"/>
    </xf>
    <xf numFmtId="188" fontId="24" fillId="0" borderId="1" xfId="0" applyNumberFormat="1" applyFont="1" applyFill="1" applyBorder="1" applyAlignment="1">
      <alignment horizontal="center" vertical="center" wrapText="1"/>
    </xf>
    <xf numFmtId="176" fontId="23" fillId="0" borderId="1" xfId="0" applyNumberFormat="1" applyFont="1" applyBorder="1" applyAlignment="1">
      <alignment vertical="center"/>
    </xf>
    <xf numFmtId="43" fontId="22" fillId="0" borderId="1" xfId="11" applyFont="1" applyBorder="1" applyAlignment="1">
      <alignment horizontal="center" vertical="center"/>
    </xf>
    <xf numFmtId="182" fontId="9" fillId="0" borderId="1" xfId="4" applyNumberFormat="1" applyFont="1" applyBorder="1" applyAlignment="1">
      <alignment horizontal="center" vertical="center"/>
    </xf>
    <xf numFmtId="184" fontId="11" fillId="0" borderId="1" xfId="0" applyNumberFormat="1" applyFont="1" applyBorder="1" applyAlignment="1">
      <alignment horizontal="center" vertical="center"/>
    </xf>
    <xf numFmtId="181" fontId="11" fillId="0" borderId="1" xfId="1" applyNumberFormat="1" applyFont="1" applyBorder="1" applyAlignment="1">
      <alignment horizontal="center" vertical="center"/>
    </xf>
    <xf numFmtId="0" fontId="0" fillId="0" borderId="0" xfId="0" applyFont="1" applyAlignment="1">
      <alignment vertical="center" wrapText="1"/>
    </xf>
    <xf numFmtId="0" fontId="0" fillId="0" borderId="1" xfId="0" applyFont="1" applyBorder="1" applyAlignment="1">
      <alignment vertical="center" wrapText="1"/>
    </xf>
    <xf numFmtId="0" fontId="8" fillId="0" borderId="1" xfId="0" applyFont="1" applyBorder="1" applyAlignment="1">
      <alignment horizontal="center" vertical="center" wrapText="1"/>
    </xf>
    <xf numFmtId="0" fontId="8" fillId="0" borderId="1" xfId="0" applyFont="1" applyBorder="1" applyAlignment="1">
      <alignment horizontal="center" vertical="center"/>
    </xf>
    <xf numFmtId="0" fontId="0" fillId="0" borderId="1" xfId="0" applyFont="1" applyBorder="1" applyAlignment="1">
      <alignment horizontal="center" vertical="center"/>
    </xf>
    <xf numFmtId="2" fontId="0" fillId="0" borderId="1" xfId="0" applyNumberFormat="1" applyFont="1" applyBorder="1" applyAlignment="1">
      <alignment horizontal="center" vertical="center"/>
    </xf>
    <xf numFmtId="1" fontId="0" fillId="0" borderId="1" xfId="0" applyNumberFormat="1" applyFont="1" applyBorder="1" applyAlignment="1">
      <alignment horizontal="center" vertical="center"/>
    </xf>
    <xf numFmtId="0" fontId="8" fillId="0" borderId="1" xfId="0" applyFont="1" applyBorder="1" applyAlignment="1">
      <alignment horizontal="center" vertical="center"/>
    </xf>
    <xf numFmtId="0" fontId="0" fillId="0" borderId="1" xfId="0" applyFont="1" applyBorder="1" applyAlignment="1">
      <alignment horizontal="center" vertical="center"/>
    </xf>
    <xf numFmtId="4" fontId="0" fillId="0" borderId="1" xfId="0" applyNumberFormat="1" applyFont="1" applyBorder="1" applyAlignment="1">
      <alignment horizontal="center" vertical="center"/>
    </xf>
    <xf numFmtId="0" fontId="8" fillId="0" borderId="1" xfId="0" applyFont="1" applyBorder="1" applyAlignment="1">
      <alignment horizontal="center" vertical="center" wrapText="1"/>
    </xf>
    <xf numFmtId="0" fontId="8" fillId="0" borderId="1" xfId="0" applyFont="1" applyBorder="1" applyAlignment="1">
      <alignment horizontal="center" vertical="center"/>
    </xf>
    <xf numFmtId="0" fontId="0" fillId="0" borderId="1" xfId="0" applyFont="1" applyBorder="1" applyAlignment="1">
      <alignment horizontal="center" vertical="center"/>
    </xf>
    <xf numFmtId="2" fontId="0" fillId="0" borderId="1" xfId="0" applyNumberFormat="1" applyFont="1" applyBorder="1" applyAlignment="1">
      <alignment horizontal="center" vertical="center"/>
    </xf>
    <xf numFmtId="0" fontId="8" fillId="0" borderId="2" xfId="0" applyFont="1" applyBorder="1" applyAlignment="1">
      <alignment horizontal="center" vertical="center" wrapText="1"/>
    </xf>
    <xf numFmtId="0" fontId="8" fillId="0" borderId="0" xfId="0" applyFont="1" applyAlignment="1">
      <alignment horizontal="center" vertical="center"/>
    </xf>
    <xf numFmtId="0" fontId="18" fillId="0" borderId="0" xfId="7">
      <alignment vertical="center"/>
    </xf>
    <xf numFmtId="0" fontId="41" fillId="0" borderId="0" xfId="0" applyFont="1">
      <alignment vertical="center"/>
    </xf>
    <xf numFmtId="0" fontId="8" fillId="0" borderId="1" xfId="0" applyFont="1" applyBorder="1" applyAlignment="1">
      <alignment horizontal="center" vertical="center" wrapText="1"/>
    </xf>
    <xf numFmtId="2" fontId="0" fillId="0" borderId="1" xfId="0" applyNumberFormat="1" applyFont="1" applyBorder="1" applyAlignment="1">
      <alignment horizontal="center" vertical="center"/>
    </xf>
    <xf numFmtId="0" fontId="0" fillId="0" borderId="2" xfId="0" applyFont="1" applyBorder="1" applyAlignment="1">
      <alignment horizontal="center" vertical="center"/>
    </xf>
    <xf numFmtId="0" fontId="0" fillId="0" borderId="2" xfId="0" applyFont="1" applyBorder="1">
      <alignment vertical="center"/>
    </xf>
    <xf numFmtId="0" fontId="6" fillId="0" borderId="2" xfId="0" applyFont="1" applyBorder="1" applyAlignment="1">
      <alignment horizontal="center" vertical="center"/>
    </xf>
    <xf numFmtId="0" fontId="43" fillId="0" borderId="0" xfId="0" applyFont="1" applyAlignment="1">
      <alignment horizontal="center" vertical="center" wrapText="1"/>
    </xf>
    <xf numFmtId="0" fontId="42" fillId="0" borderId="0" xfId="0" applyFont="1" applyAlignment="1">
      <alignment vertical="center" wrapText="1"/>
    </xf>
    <xf numFmtId="0" fontId="8" fillId="0" borderId="1" xfId="0" applyFont="1" applyBorder="1" applyAlignment="1">
      <alignment horizontal="center" vertical="center" wrapText="1"/>
    </xf>
    <xf numFmtId="0" fontId="8" fillId="0" borderId="1" xfId="0" applyFont="1" applyBorder="1" applyAlignment="1">
      <alignment horizontal="center" vertical="center"/>
    </xf>
    <xf numFmtId="0" fontId="8" fillId="0" borderId="1" xfId="0" applyFont="1" applyBorder="1" applyAlignment="1">
      <alignment horizontal="center" vertical="center" wrapText="1"/>
    </xf>
    <xf numFmtId="0" fontId="8" fillId="0" borderId="1" xfId="0" applyFont="1" applyBorder="1" applyAlignment="1">
      <alignment horizontal="center" vertical="center"/>
    </xf>
    <xf numFmtId="0" fontId="0" fillId="0" borderId="1" xfId="0" applyFont="1" applyBorder="1" applyAlignment="1">
      <alignment horizontal="center" vertical="center"/>
    </xf>
    <xf numFmtId="2" fontId="0" fillId="0" borderId="1" xfId="0" applyNumberFormat="1" applyFont="1" applyBorder="1" applyAlignment="1">
      <alignment horizontal="center" vertical="center"/>
    </xf>
    <xf numFmtId="181" fontId="0" fillId="0" borderId="1" xfId="1" applyNumberFormat="1" applyFont="1" applyFill="1" applyBorder="1" applyAlignment="1">
      <alignment horizontal="center" vertical="center"/>
    </xf>
    <xf numFmtId="186" fontId="0" fillId="0" borderId="0" xfId="0" applyNumberFormat="1" applyFont="1">
      <alignment vertical="center"/>
    </xf>
    <xf numFmtId="0" fontId="8" fillId="0" borderId="1" xfId="0" applyFont="1" applyBorder="1" applyAlignment="1">
      <alignment horizontal="center" vertical="center" wrapText="1"/>
    </xf>
    <xf numFmtId="0" fontId="8" fillId="0" borderId="1" xfId="0" applyFont="1" applyBorder="1" applyAlignment="1">
      <alignment horizontal="center" vertical="center"/>
    </xf>
    <xf numFmtId="0" fontId="0" fillId="0" borderId="1" xfId="0" applyFont="1" applyBorder="1" applyAlignment="1">
      <alignment horizontal="center" vertical="center"/>
    </xf>
    <xf numFmtId="2" fontId="0" fillId="0" borderId="1" xfId="0" applyNumberFormat="1" applyFont="1" applyBorder="1" applyAlignment="1">
      <alignment horizontal="center" vertical="center"/>
    </xf>
    <xf numFmtId="1" fontId="0" fillId="0" borderId="1" xfId="0" applyNumberFormat="1" applyFont="1" applyBorder="1" applyAlignment="1">
      <alignment horizontal="center" vertical="center"/>
    </xf>
    <xf numFmtId="0" fontId="8" fillId="0" borderId="0" xfId="0" applyFont="1" applyAlignment="1">
      <alignment horizontal="center" vertical="center"/>
    </xf>
    <xf numFmtId="3" fontId="6" fillId="0" borderId="1" xfId="0" applyNumberFormat="1" applyFont="1" applyBorder="1" applyAlignment="1">
      <alignment horizontal="center" vertical="center"/>
    </xf>
    <xf numFmtId="2" fontId="6" fillId="0" borderId="1" xfId="0" applyNumberFormat="1" applyFont="1" applyBorder="1" applyAlignment="1">
      <alignment horizontal="center" vertical="center"/>
    </xf>
    <xf numFmtId="10" fontId="6" fillId="0" borderId="1" xfId="1" applyNumberFormat="1" applyFont="1" applyBorder="1" applyAlignment="1">
      <alignment horizontal="center" vertical="center"/>
    </xf>
    <xf numFmtId="183" fontId="6" fillId="0" borderId="1" xfId="0" applyNumberFormat="1" applyFont="1" applyBorder="1" applyAlignment="1">
      <alignment horizontal="center" vertical="center"/>
    </xf>
    <xf numFmtId="0" fontId="8" fillId="0" borderId="7" xfId="0" applyFont="1" applyFill="1" applyBorder="1" applyAlignment="1">
      <alignment horizontal="center" vertical="center"/>
    </xf>
    <xf numFmtId="0" fontId="44" fillId="6" borderId="16" xfId="0" applyFont="1" applyFill="1" applyBorder="1" applyAlignment="1">
      <alignment horizontal="center" vertical="center" wrapText="1" readingOrder="1"/>
    </xf>
    <xf numFmtId="0" fontId="44" fillId="6" borderId="17" xfId="0" applyFont="1" applyFill="1" applyBorder="1" applyAlignment="1">
      <alignment horizontal="center" vertical="center" wrapText="1" readingOrder="1"/>
    </xf>
    <xf numFmtId="0" fontId="45" fillId="0" borderId="16" xfId="0" applyFont="1" applyBorder="1" applyAlignment="1">
      <alignment horizontal="center" vertical="center" wrapText="1" readingOrder="1"/>
    </xf>
    <xf numFmtId="181" fontId="0" fillId="0" borderId="0" xfId="1" applyNumberFormat="1" applyFont="1">
      <alignment vertical="center"/>
    </xf>
    <xf numFmtId="2" fontId="0" fillId="0" borderId="0" xfId="0" applyNumberFormat="1" applyFont="1">
      <alignment vertical="center"/>
    </xf>
    <xf numFmtId="0" fontId="8" fillId="0" borderId="1" xfId="0" applyFont="1" applyBorder="1" applyAlignment="1">
      <alignment horizontal="center" vertical="center"/>
    </xf>
    <xf numFmtId="10" fontId="0" fillId="0" borderId="1" xfId="1" applyNumberFormat="1" applyFont="1" applyBorder="1">
      <alignment vertical="center"/>
    </xf>
    <xf numFmtId="0" fontId="8" fillId="0" borderId="1" xfId="0" applyFont="1" applyBorder="1" applyAlignment="1">
      <alignment horizontal="center" vertical="center"/>
    </xf>
    <xf numFmtId="0" fontId="0" fillId="0" borderId="1" xfId="0" applyFont="1" applyBorder="1" applyAlignment="1">
      <alignment horizontal="center" vertical="center"/>
    </xf>
    <xf numFmtId="2" fontId="0" fillId="0" borderId="1" xfId="0" applyNumberFormat="1" applyFont="1" applyBorder="1" applyAlignment="1">
      <alignment horizontal="center" vertical="center"/>
    </xf>
    <xf numFmtId="182" fontId="0" fillId="0" borderId="0" xfId="1" applyNumberFormat="1" applyFont="1" applyAlignment="1">
      <alignment horizontal="center" vertical="center"/>
    </xf>
    <xf numFmtId="9" fontId="2" fillId="0" borderId="0" xfId="12" applyNumberFormat="1">
      <alignment vertical="center"/>
    </xf>
    <xf numFmtId="0" fontId="47" fillId="7" borderId="1" xfId="12" applyFont="1" applyFill="1" applyBorder="1" applyAlignment="1">
      <alignment horizontal="center" vertical="center"/>
    </xf>
    <xf numFmtId="0" fontId="2" fillId="0" borderId="1" xfId="12" applyBorder="1" applyAlignment="1">
      <alignment horizontal="center" vertical="center"/>
    </xf>
    <xf numFmtId="0" fontId="49" fillId="8" borderId="1" xfId="12" applyFont="1" applyFill="1" applyBorder="1" applyAlignment="1">
      <alignment horizontal="center" vertical="center"/>
    </xf>
    <xf numFmtId="0" fontId="2" fillId="0" borderId="0" xfId="12" applyAlignment="1">
      <alignment horizontal="center" vertical="center"/>
    </xf>
    <xf numFmtId="10" fontId="0" fillId="0" borderId="0" xfId="1" applyNumberFormat="1" applyFont="1" applyAlignment="1">
      <alignment horizontal="center" vertical="center"/>
    </xf>
    <xf numFmtId="0" fontId="47" fillId="0" borderId="1" xfId="12" applyFont="1" applyBorder="1" applyAlignment="1">
      <alignment horizontal="center" vertical="center"/>
    </xf>
    <xf numFmtId="0" fontId="51" fillId="2" borderId="1" xfId="0" applyFont="1" applyFill="1" applyBorder="1" applyAlignment="1">
      <alignment horizontal="center" vertical="center" wrapText="1"/>
    </xf>
    <xf numFmtId="9" fontId="51" fillId="2" borderId="1" xfId="0" applyNumberFormat="1" applyFont="1" applyFill="1" applyBorder="1" applyAlignment="1">
      <alignment horizontal="center" vertical="center" wrapText="1"/>
    </xf>
    <xf numFmtId="0" fontId="51" fillId="9" borderId="1" xfId="0" applyFont="1" applyFill="1" applyBorder="1" applyAlignment="1">
      <alignment horizontal="center" vertical="center" wrapText="1"/>
    </xf>
    <xf numFmtId="9" fontId="51" fillId="9" borderId="1" xfId="0" applyNumberFormat="1" applyFont="1" applyFill="1" applyBorder="1" applyAlignment="1">
      <alignment horizontal="center" vertical="center" wrapText="1"/>
    </xf>
    <xf numFmtId="10" fontId="51" fillId="9" borderId="1" xfId="0" applyNumberFormat="1" applyFont="1" applyFill="1" applyBorder="1" applyAlignment="1">
      <alignment horizontal="center" vertical="center" wrapText="1"/>
    </xf>
    <xf numFmtId="10" fontId="51" fillId="2" borderId="1" xfId="0" applyNumberFormat="1" applyFont="1" applyFill="1" applyBorder="1" applyAlignment="1">
      <alignment horizontal="center" vertical="center" wrapText="1"/>
    </xf>
    <xf numFmtId="0" fontId="48" fillId="0" borderId="1" xfId="12" applyFont="1" applyBorder="1" applyAlignment="1">
      <alignment horizontal="center" vertical="center"/>
    </xf>
    <xf numFmtId="0" fontId="49" fillId="0" borderId="1" xfId="12" applyFont="1" applyBorder="1" applyAlignment="1">
      <alignment horizontal="center" vertical="center"/>
    </xf>
    <xf numFmtId="9" fontId="0" fillId="0" borderId="1" xfId="13" applyFont="1" applyBorder="1" applyAlignment="1">
      <alignment horizontal="center" vertical="center"/>
    </xf>
    <xf numFmtId="10" fontId="0" fillId="0" borderId="1" xfId="13" applyNumberFormat="1" applyFont="1" applyBorder="1" applyAlignment="1">
      <alignment horizontal="center" vertical="center"/>
    </xf>
    <xf numFmtId="184" fontId="2" fillId="0" borderId="1" xfId="12" applyNumberFormat="1" applyBorder="1" applyAlignment="1">
      <alignment horizontal="center" vertical="center"/>
    </xf>
    <xf numFmtId="1" fontId="2" fillId="0" borderId="1" xfId="12" applyNumberFormat="1" applyBorder="1" applyAlignment="1">
      <alignment horizontal="center" vertical="center"/>
    </xf>
    <xf numFmtId="184" fontId="2" fillId="0" borderId="0" xfId="12" applyNumberFormat="1" applyAlignment="1">
      <alignment horizontal="center" vertical="center"/>
    </xf>
    <xf numFmtId="0" fontId="2" fillId="4" borderId="1" xfId="12" applyFill="1" applyBorder="1" applyAlignment="1">
      <alignment horizontal="center" vertical="center"/>
    </xf>
    <xf numFmtId="0" fontId="53" fillId="0" borderId="1" xfId="0" applyFont="1" applyBorder="1" applyAlignment="1">
      <alignment horizontal="center" vertical="center"/>
    </xf>
    <xf numFmtId="0" fontId="54" fillId="0" borderId="1" xfId="0" applyFont="1" applyBorder="1" applyAlignment="1">
      <alignment horizontal="center" vertical="center"/>
    </xf>
    <xf numFmtId="0" fontId="54" fillId="0" borderId="1" xfId="0" applyFont="1" applyBorder="1" applyAlignment="1">
      <alignment horizontal="center" vertical="center" wrapText="1"/>
    </xf>
    <xf numFmtId="0" fontId="54" fillId="0" borderId="1" xfId="0" applyFont="1" applyBorder="1" applyAlignment="1">
      <alignment horizontal="left" vertical="center" wrapText="1"/>
    </xf>
    <xf numFmtId="0" fontId="54" fillId="0" borderId="1" xfId="0" applyFont="1" applyBorder="1" applyAlignment="1">
      <alignment horizontal="center" vertical="center" wrapText="1"/>
    </xf>
    <xf numFmtId="10" fontId="56" fillId="0" borderId="1" xfId="0" applyNumberFormat="1" applyFont="1" applyBorder="1" applyAlignment="1">
      <alignment horizontal="center" vertical="center" wrapText="1" readingOrder="1"/>
    </xf>
    <xf numFmtId="0" fontId="54" fillId="0" borderId="1" xfId="0" applyFont="1" applyBorder="1" applyAlignment="1">
      <alignment horizontal="center" vertical="center"/>
    </xf>
    <xf numFmtId="0" fontId="54" fillId="0" borderId="1" xfId="0" applyFont="1" applyBorder="1" applyAlignment="1">
      <alignment horizontal="left" vertical="center" wrapText="1"/>
    </xf>
    <xf numFmtId="0" fontId="53" fillId="4" borderId="1" xfId="0" applyFont="1" applyFill="1" applyBorder="1" applyAlignment="1">
      <alignment horizontal="center" vertical="center"/>
    </xf>
    <xf numFmtId="0" fontId="56" fillId="0" borderId="1" xfId="0" applyFont="1" applyBorder="1" applyAlignment="1">
      <alignment horizontal="center" vertical="center" wrapText="1" readingOrder="1"/>
    </xf>
    <xf numFmtId="0" fontId="8" fillId="0" borderId="1" xfId="0" applyFont="1" applyBorder="1" applyAlignment="1">
      <alignment horizontal="center" vertical="center"/>
    </xf>
    <xf numFmtId="0" fontId="0" fillId="0" borderId="1" xfId="0" applyFont="1" applyBorder="1" applyAlignment="1">
      <alignment horizontal="center" vertical="center"/>
    </xf>
    <xf numFmtId="0" fontId="54" fillId="0" borderId="1" xfId="0" applyFont="1" applyBorder="1" applyAlignment="1">
      <alignment horizontal="left" vertical="center" wrapText="1"/>
    </xf>
    <xf numFmtId="0" fontId="54" fillId="0" borderId="1" xfId="0" applyFont="1" applyBorder="1" applyAlignment="1">
      <alignment horizontal="center" vertical="center"/>
    </xf>
    <xf numFmtId="0" fontId="54" fillId="0" borderId="1" xfId="0" applyFont="1" applyBorder="1" applyAlignment="1">
      <alignment horizontal="center" vertical="center" wrapText="1"/>
    </xf>
    <xf numFmtId="0" fontId="47" fillId="0" borderId="1" xfId="12" applyFont="1" applyBorder="1" applyAlignment="1">
      <alignment horizontal="center" vertical="center"/>
    </xf>
    <xf numFmtId="2" fontId="0" fillId="0" borderId="1" xfId="0" applyNumberFormat="1" applyFont="1" applyBorder="1" applyAlignment="1">
      <alignment horizontal="center" vertical="center"/>
    </xf>
    <xf numFmtId="0" fontId="47" fillId="0" borderId="1" xfId="12" applyFont="1" applyBorder="1" applyAlignment="1">
      <alignment horizontal="center" vertical="center"/>
    </xf>
    <xf numFmtId="0" fontId="51" fillId="9" borderId="1" xfId="0" applyFont="1" applyFill="1" applyBorder="1" applyAlignment="1">
      <alignment horizontal="center" vertical="center" wrapText="1"/>
    </xf>
    <xf numFmtId="0" fontId="52" fillId="2" borderId="1" xfId="0" applyFont="1" applyFill="1" applyBorder="1" applyAlignment="1">
      <alignment horizontal="center" vertical="center" wrapText="1"/>
    </xf>
    <xf numFmtId="189" fontId="56" fillId="0" borderId="1" xfId="1" applyNumberFormat="1" applyFont="1" applyBorder="1" applyAlignment="1">
      <alignment horizontal="center" vertical="center" wrapText="1" readingOrder="1"/>
    </xf>
    <xf numFmtId="186" fontId="56" fillId="0" borderId="1" xfId="1" applyNumberFormat="1" applyFont="1" applyBorder="1" applyAlignment="1">
      <alignment horizontal="center" vertical="center" wrapText="1" readingOrder="1"/>
    </xf>
    <xf numFmtId="176" fontId="56" fillId="0" borderId="1" xfId="1" applyNumberFormat="1" applyFont="1" applyBorder="1" applyAlignment="1">
      <alignment horizontal="center" vertical="center" wrapText="1" readingOrder="1"/>
    </xf>
    <xf numFmtId="0" fontId="51" fillId="9" borderId="1" xfId="0" applyFont="1" applyFill="1" applyBorder="1" applyAlignment="1">
      <alignment horizontal="center" vertical="center" wrapText="1"/>
    </xf>
    <xf numFmtId="10" fontId="2" fillId="0" borderId="0" xfId="12" applyNumberFormat="1" applyAlignment="1">
      <alignment horizontal="center" vertical="center"/>
    </xf>
    <xf numFmtId="0" fontId="54" fillId="0" borderId="5" xfId="0" applyFont="1" applyBorder="1" applyAlignment="1">
      <alignment horizontal="center" vertical="center" wrapText="1"/>
    </xf>
    <xf numFmtId="0" fontId="54" fillId="0" borderId="1" xfId="0" applyFont="1" applyBorder="1" applyAlignment="1">
      <alignment horizontal="center" vertical="center"/>
    </xf>
    <xf numFmtId="0" fontId="54" fillId="0" borderId="1" xfId="0" applyFont="1" applyBorder="1" applyAlignment="1">
      <alignment horizontal="left" vertical="center" wrapText="1"/>
    </xf>
    <xf numFmtId="0" fontId="54" fillId="0" borderId="1" xfId="0" applyFont="1" applyBorder="1" applyAlignment="1">
      <alignment horizontal="center" vertical="center" wrapText="1"/>
    </xf>
    <xf numFmtId="10" fontId="8" fillId="0" borderId="1" xfId="13" applyNumberFormat="1" applyFont="1" applyBorder="1" applyAlignment="1">
      <alignment horizontal="center" vertical="center"/>
    </xf>
    <xf numFmtId="0" fontId="54" fillId="0" borderId="1" xfId="0" applyFont="1" applyBorder="1" applyAlignment="1">
      <alignment horizontal="center" vertical="center"/>
    </xf>
    <xf numFmtId="0" fontId="54" fillId="0" borderId="1" xfId="0" applyFont="1" applyBorder="1" applyAlignment="1">
      <alignment horizontal="left" vertical="center" wrapText="1"/>
    </xf>
    <xf numFmtId="0" fontId="54" fillId="0" borderId="1" xfId="0" applyFont="1" applyBorder="1" applyAlignment="1">
      <alignment horizontal="center" vertical="center" wrapText="1"/>
    </xf>
    <xf numFmtId="0" fontId="58" fillId="0" borderId="0" xfId="0" applyFont="1">
      <alignment vertical="center"/>
    </xf>
    <xf numFmtId="0" fontId="54" fillId="0" borderId="1" xfId="0" applyFont="1" applyBorder="1" applyAlignment="1">
      <alignment vertical="center"/>
    </xf>
    <xf numFmtId="0" fontId="54" fillId="0" borderId="1" xfId="0" applyFont="1" applyBorder="1" applyAlignment="1">
      <alignment vertical="center" wrapText="1"/>
    </xf>
    <xf numFmtId="0" fontId="54" fillId="0" borderId="5" xfId="0" applyFont="1" applyBorder="1" applyAlignment="1">
      <alignment vertical="center" wrapText="1"/>
    </xf>
    <xf numFmtId="0" fontId="53" fillId="4" borderId="1" xfId="0" applyFont="1" applyFill="1" applyBorder="1" applyAlignment="1">
      <alignment horizontal="center" vertical="center"/>
    </xf>
    <xf numFmtId="0" fontId="8" fillId="0" borderId="1" xfId="0" applyFont="1" applyBorder="1" applyAlignment="1">
      <alignment horizontal="center" vertical="center" wrapText="1"/>
    </xf>
    <xf numFmtId="0" fontId="8" fillId="0" borderId="1" xfId="0" applyFont="1" applyBorder="1" applyAlignment="1">
      <alignment horizontal="center" vertical="center"/>
    </xf>
    <xf numFmtId="0" fontId="0" fillId="0" borderId="1" xfId="0" applyFont="1" applyBorder="1" applyAlignment="1">
      <alignment horizontal="center" vertical="center"/>
    </xf>
    <xf numFmtId="0" fontId="6" fillId="0" borderId="0" xfId="0" applyFont="1" applyAlignment="1">
      <alignment horizontal="center" vertical="center" wrapText="1"/>
    </xf>
    <xf numFmtId="0" fontId="8" fillId="0" borderId="5" xfId="0" applyFont="1" applyBorder="1" applyAlignment="1">
      <alignment horizontal="center" vertical="center"/>
    </xf>
    <xf numFmtId="0" fontId="8" fillId="0" borderId="7" xfId="0" applyFont="1" applyBorder="1" applyAlignment="1">
      <alignment horizontal="center" vertical="center"/>
    </xf>
    <xf numFmtId="0" fontId="8" fillId="0" borderId="6" xfId="0" applyFont="1" applyBorder="1" applyAlignment="1">
      <alignment horizontal="center" vertical="center"/>
    </xf>
    <xf numFmtId="0" fontId="53" fillId="4" borderId="2" xfId="0" applyFont="1" applyFill="1" applyBorder="1" applyAlignment="1">
      <alignment horizontal="center" vertical="center"/>
    </xf>
    <xf numFmtId="0" fontId="53" fillId="4" borderId="3" xfId="0" applyFont="1" applyFill="1" applyBorder="1" applyAlignment="1">
      <alignment horizontal="center" vertical="center"/>
    </xf>
    <xf numFmtId="0" fontId="53" fillId="4" borderId="4" xfId="0" applyFont="1" applyFill="1" applyBorder="1" applyAlignment="1">
      <alignment horizontal="center" vertical="center"/>
    </xf>
    <xf numFmtId="0" fontId="53" fillId="4" borderId="1" xfId="0" applyFont="1" applyFill="1" applyBorder="1" applyAlignment="1">
      <alignment horizontal="center" vertical="center" wrapText="1"/>
    </xf>
    <xf numFmtId="0" fontId="57" fillId="4" borderId="1" xfId="0" applyFont="1" applyFill="1" applyBorder="1" applyAlignment="1">
      <alignment horizontal="center" vertical="center" wrapText="1"/>
    </xf>
    <xf numFmtId="0" fontId="53" fillId="4" borderId="1" xfId="0" applyFont="1" applyFill="1" applyBorder="1" applyAlignment="1">
      <alignment horizontal="center" vertical="center"/>
    </xf>
    <xf numFmtId="10" fontId="6" fillId="0" borderId="0" xfId="1" applyNumberFormat="1" applyFont="1" applyAlignment="1">
      <alignment horizontal="center" vertical="center"/>
    </xf>
    <xf numFmtId="10" fontId="0" fillId="0" borderId="0" xfId="1" applyNumberFormat="1" applyFont="1" applyAlignment="1">
      <alignment horizontal="center" vertical="center"/>
    </xf>
    <xf numFmtId="10" fontId="0" fillId="0" borderId="18" xfId="1" applyNumberFormat="1" applyFont="1" applyBorder="1" applyAlignment="1">
      <alignment horizontal="center" vertical="center"/>
    </xf>
    <xf numFmtId="10" fontId="6" fillId="0" borderId="2" xfId="1" applyNumberFormat="1" applyFont="1" applyBorder="1" applyAlignment="1">
      <alignment horizontal="center" vertical="center"/>
    </xf>
    <xf numFmtId="10" fontId="0" fillId="0" borderId="3" xfId="1" applyNumberFormat="1" applyFont="1" applyBorder="1" applyAlignment="1">
      <alignment horizontal="center" vertical="center"/>
    </xf>
    <xf numFmtId="10" fontId="0" fillId="0" borderId="4" xfId="1" applyNumberFormat="1" applyFont="1" applyBorder="1" applyAlignment="1">
      <alignment horizontal="center" vertical="center"/>
    </xf>
    <xf numFmtId="0" fontId="40" fillId="0" borderId="0" xfId="0" applyFont="1" applyAlignment="1">
      <alignment horizontal="center" vertical="center"/>
    </xf>
    <xf numFmtId="0" fontId="51" fillId="9" borderId="1" xfId="0" applyFont="1" applyFill="1" applyBorder="1" applyAlignment="1">
      <alignment horizontal="center" vertical="center" wrapText="1"/>
    </xf>
    <xf numFmtId="0" fontId="47" fillId="0" borderId="1" xfId="12" applyFont="1" applyBorder="1" applyAlignment="1">
      <alignment horizontal="center" vertical="center"/>
    </xf>
    <xf numFmtId="0" fontId="2" fillId="0" borderId="1" xfId="12" applyBorder="1" applyAlignment="1">
      <alignment horizontal="center" vertical="center" wrapText="1"/>
    </xf>
    <xf numFmtId="0" fontId="0" fillId="0" borderId="6" xfId="0" applyFont="1" applyBorder="1" applyAlignment="1">
      <alignment horizontal="center" vertical="center"/>
    </xf>
    <xf numFmtId="2" fontId="0" fillId="0" borderId="1" xfId="0" applyNumberFormat="1" applyFont="1" applyBorder="1" applyAlignment="1">
      <alignment horizontal="center" vertical="center"/>
    </xf>
    <xf numFmtId="0" fontId="33" fillId="2" borderId="5" xfId="0" applyFont="1" applyFill="1" applyBorder="1" applyAlignment="1">
      <alignment horizontal="center" vertical="center" wrapText="1"/>
    </xf>
    <xf numFmtId="0" fontId="33" fillId="2" borderId="7" xfId="0" applyFont="1" applyFill="1" applyBorder="1" applyAlignment="1">
      <alignment horizontal="center" vertical="center" wrapText="1"/>
    </xf>
    <xf numFmtId="0" fontId="33" fillId="2" borderId="6" xfId="0" applyFont="1" applyFill="1" applyBorder="1" applyAlignment="1">
      <alignment horizontal="center" vertical="center" wrapText="1"/>
    </xf>
    <xf numFmtId="0" fontId="8" fillId="0" borderId="2" xfId="0" applyFont="1" applyBorder="1" applyAlignment="1">
      <alignment horizontal="center" vertical="center" wrapText="1"/>
    </xf>
    <xf numFmtId="0" fontId="8" fillId="0" borderId="3" xfId="0" applyFont="1" applyBorder="1" applyAlignment="1">
      <alignment horizontal="center" vertical="center" wrapText="1"/>
    </xf>
    <xf numFmtId="0" fontId="8" fillId="0" borderId="4" xfId="0" applyFont="1" applyBorder="1" applyAlignment="1">
      <alignment horizontal="center" vertical="center" wrapText="1"/>
    </xf>
    <xf numFmtId="1" fontId="0" fillId="0" borderId="1" xfId="0" applyNumberFormat="1" applyFont="1" applyBorder="1" applyAlignment="1">
      <alignment horizontal="center" vertical="center"/>
    </xf>
    <xf numFmtId="0" fontId="6" fillId="0" borderId="1" xfId="0" applyFont="1" applyBorder="1" applyAlignment="1">
      <alignment horizontal="center" vertical="center" wrapText="1"/>
    </xf>
    <xf numFmtId="0" fontId="8" fillId="0" borderId="0" xfId="0" applyFont="1" applyAlignment="1">
      <alignment horizontal="center" vertical="center"/>
    </xf>
    <xf numFmtId="0" fontId="40" fillId="0" borderId="0" xfId="0" applyFont="1" applyAlignment="1">
      <alignment horizontal="left" vertical="center" wrapText="1"/>
    </xf>
    <xf numFmtId="0" fontId="0" fillId="0" borderId="0" xfId="0" applyFont="1" applyAlignment="1">
      <alignment horizontal="left" vertical="center" wrapText="1"/>
    </xf>
    <xf numFmtId="0" fontId="0" fillId="0" borderId="0" xfId="0" applyFont="1" applyAlignment="1">
      <alignment horizontal="left" vertical="center"/>
    </xf>
    <xf numFmtId="0" fontId="6" fillId="0" borderId="0" xfId="0" applyFont="1" applyAlignment="1">
      <alignment horizontal="center" vertical="center"/>
    </xf>
    <xf numFmtId="0" fontId="8" fillId="0" borderId="8" xfId="0" applyFont="1" applyBorder="1" applyAlignment="1">
      <alignment horizontal="center" vertical="center" wrapText="1"/>
    </xf>
    <xf numFmtId="0" fontId="8" fillId="0" borderId="0" xfId="0" applyFont="1" applyBorder="1" applyAlignment="1">
      <alignment horizontal="center" vertical="center" wrapText="1"/>
    </xf>
    <xf numFmtId="0" fontId="36" fillId="2" borderId="1" xfId="0" applyFont="1" applyFill="1" applyBorder="1" applyAlignment="1">
      <alignment horizontal="center" vertical="center" wrapText="1"/>
    </xf>
    <xf numFmtId="0" fontId="8" fillId="0" borderId="5" xfId="0" applyFont="1" applyBorder="1" applyAlignment="1">
      <alignment horizontal="center" vertical="center" wrapText="1"/>
    </xf>
    <xf numFmtId="0" fontId="0" fillId="0" borderId="7" xfId="0" applyFont="1" applyBorder="1" applyAlignment="1">
      <alignment horizontal="center" vertical="center" wrapText="1"/>
    </xf>
    <xf numFmtId="0" fontId="0" fillId="0" borderId="6" xfId="0" applyFont="1" applyBorder="1" applyAlignment="1">
      <alignment horizontal="center" vertical="center" wrapText="1"/>
    </xf>
    <xf numFmtId="0" fontId="0" fillId="0" borderId="1" xfId="0" applyFont="1" applyBorder="1" applyAlignment="1">
      <alignment horizontal="center" vertical="center" wrapText="1"/>
    </xf>
    <xf numFmtId="0" fontId="13" fillId="4" borderId="1" xfId="0" applyFont="1" applyFill="1" applyBorder="1" applyAlignment="1">
      <alignment horizontal="center" vertical="center"/>
    </xf>
    <xf numFmtId="0" fontId="20" fillId="0" borderId="2" xfId="0" applyFont="1" applyBorder="1" applyAlignment="1">
      <alignment horizontal="center" vertical="center"/>
    </xf>
    <xf numFmtId="0" fontId="20" fillId="0" borderId="4" xfId="0" applyFont="1" applyBorder="1" applyAlignment="1">
      <alignment horizontal="center" vertical="center"/>
    </xf>
    <xf numFmtId="0" fontId="20" fillId="0" borderId="3" xfId="0" applyFont="1" applyBorder="1" applyAlignment="1">
      <alignment horizontal="center" vertical="center"/>
    </xf>
    <xf numFmtId="0" fontId="21" fillId="3" borderId="1" xfId="0" applyFont="1" applyFill="1" applyBorder="1" applyAlignment="1">
      <alignment horizontal="center" vertical="center"/>
    </xf>
    <xf numFmtId="0" fontId="23" fillId="0" borderId="2" xfId="0" applyFont="1" applyBorder="1" applyAlignment="1">
      <alignment horizontal="center" vertical="center" wrapText="1"/>
    </xf>
    <xf numFmtId="0" fontId="23" fillId="0" borderId="3" xfId="0" applyFont="1" applyBorder="1" applyAlignment="1">
      <alignment horizontal="center" vertical="center" wrapText="1"/>
    </xf>
    <xf numFmtId="0" fontId="23" fillId="0" borderId="4" xfId="0" applyFont="1" applyBorder="1" applyAlignment="1">
      <alignment horizontal="center" vertical="center" wrapText="1"/>
    </xf>
    <xf numFmtId="0" fontId="23" fillId="0" borderId="1" xfId="0" applyFont="1" applyBorder="1" applyAlignment="1">
      <alignment horizontal="center" vertical="center" wrapText="1"/>
    </xf>
    <xf numFmtId="0" fontId="22" fillId="0" borderId="1" xfId="0" applyFont="1" applyBorder="1" applyAlignment="1">
      <alignment horizontal="center" vertical="center"/>
    </xf>
    <xf numFmtId="0" fontId="23" fillId="0" borderId="1" xfId="0" applyFont="1" applyBorder="1" applyAlignment="1">
      <alignment horizontal="center" vertical="center"/>
    </xf>
    <xf numFmtId="0" fontId="23" fillId="0" borderId="2" xfId="0" applyFont="1" applyBorder="1" applyAlignment="1">
      <alignment horizontal="center" vertical="center"/>
    </xf>
    <xf numFmtId="0" fontId="23" fillId="0" borderId="3" xfId="0" applyFont="1" applyBorder="1" applyAlignment="1">
      <alignment horizontal="center" vertical="center"/>
    </xf>
    <xf numFmtId="0" fontId="23" fillId="0" borderId="4" xfId="0" applyFont="1" applyBorder="1" applyAlignment="1">
      <alignment horizontal="center" vertical="center"/>
    </xf>
    <xf numFmtId="0" fontId="23" fillId="0" borderId="9" xfId="0" applyFont="1" applyBorder="1" applyAlignment="1">
      <alignment horizontal="center" vertical="center"/>
    </xf>
    <xf numFmtId="0" fontId="23" fillId="0" borderId="10" xfId="0" applyFont="1" applyBorder="1" applyAlignment="1">
      <alignment horizontal="center" vertical="center"/>
    </xf>
    <xf numFmtId="0" fontId="23" fillId="0" borderId="11" xfId="0" applyFont="1" applyBorder="1" applyAlignment="1">
      <alignment horizontal="center" vertical="center"/>
    </xf>
    <xf numFmtId="0" fontId="23" fillId="0" borderId="8" xfId="0" applyFont="1" applyBorder="1" applyAlignment="1">
      <alignment horizontal="center" vertical="center"/>
    </xf>
    <xf numFmtId="0" fontId="23" fillId="0" borderId="0" xfId="0" applyFont="1" applyBorder="1" applyAlignment="1">
      <alignment horizontal="center" vertical="center"/>
    </xf>
    <xf numFmtId="0" fontId="23" fillId="0" borderId="12" xfId="0" applyFont="1" applyBorder="1" applyAlignment="1">
      <alignment horizontal="center" vertical="center"/>
    </xf>
    <xf numFmtId="0" fontId="23" fillId="0" borderId="13" xfId="0" applyFont="1" applyBorder="1" applyAlignment="1">
      <alignment horizontal="center" vertical="center"/>
    </xf>
    <xf numFmtId="0" fontId="23" fillId="0" borderId="14" xfId="0" applyFont="1" applyBorder="1" applyAlignment="1">
      <alignment horizontal="center" vertical="center"/>
    </xf>
    <xf numFmtId="0" fontId="23" fillId="0" borderId="15" xfId="0" applyFont="1" applyBorder="1" applyAlignment="1">
      <alignment horizontal="center" vertical="center"/>
    </xf>
    <xf numFmtId="0" fontId="22" fillId="0" borderId="2" xfId="0" applyFont="1" applyBorder="1" applyAlignment="1">
      <alignment horizontal="center" vertical="center"/>
    </xf>
    <xf numFmtId="0" fontId="22" fillId="0" borderId="3" xfId="0" applyFont="1" applyBorder="1" applyAlignment="1">
      <alignment horizontal="center" vertical="center"/>
    </xf>
    <xf numFmtId="0" fontId="22" fillId="0" borderId="4" xfId="0" applyFont="1" applyBorder="1" applyAlignment="1">
      <alignment horizontal="center" vertical="center"/>
    </xf>
    <xf numFmtId="0" fontId="21" fillId="3" borderId="2" xfId="0" applyFont="1" applyFill="1" applyBorder="1" applyAlignment="1">
      <alignment horizontal="center" vertical="center"/>
    </xf>
    <xf numFmtId="0" fontId="21" fillId="3" borderId="3" xfId="0" applyFont="1" applyFill="1" applyBorder="1" applyAlignment="1">
      <alignment horizontal="center" vertical="center"/>
    </xf>
    <xf numFmtId="0" fontId="21" fillId="3" borderId="4" xfId="0" applyFont="1" applyFill="1" applyBorder="1" applyAlignment="1">
      <alignment horizontal="center" vertical="center"/>
    </xf>
    <xf numFmtId="0" fontId="27" fillId="0" borderId="1" xfId="0" applyFont="1" applyBorder="1" applyAlignment="1">
      <alignment horizontal="center" vertical="center" wrapText="1"/>
    </xf>
    <xf numFmtId="0" fontId="27" fillId="0" borderId="2" xfId="0" applyFont="1" applyBorder="1" applyAlignment="1">
      <alignment horizontal="center" vertical="center" wrapText="1"/>
    </xf>
    <xf numFmtId="0" fontId="27" fillId="0" borderId="4" xfId="0" applyFont="1" applyBorder="1" applyAlignment="1">
      <alignment horizontal="center" vertical="center" wrapText="1"/>
    </xf>
    <xf numFmtId="0" fontId="27" fillId="0" borderId="3" xfId="0" applyFont="1" applyBorder="1" applyAlignment="1">
      <alignment horizontal="center" vertical="center" wrapText="1"/>
    </xf>
    <xf numFmtId="0" fontId="11" fillId="0" borderId="2" xfId="0" applyFont="1" applyBorder="1" applyAlignment="1">
      <alignment horizontal="center" vertical="center" wrapText="1"/>
    </xf>
    <xf numFmtId="0" fontId="11" fillId="0" borderId="4" xfId="0" applyFont="1" applyBorder="1" applyAlignment="1">
      <alignment horizontal="center" vertical="center" wrapText="1"/>
    </xf>
    <xf numFmtId="0" fontId="27" fillId="0" borderId="5" xfId="0" applyFont="1" applyBorder="1" applyAlignment="1">
      <alignment horizontal="center" vertical="center" wrapText="1"/>
    </xf>
    <xf numFmtId="0" fontId="27" fillId="0" borderId="6" xfId="0" applyFont="1" applyBorder="1" applyAlignment="1">
      <alignment horizontal="center" vertical="center" wrapText="1"/>
    </xf>
    <xf numFmtId="0" fontId="27" fillId="0" borderId="1" xfId="0" applyFont="1" applyBorder="1" applyAlignment="1">
      <alignment horizontal="center" vertical="center"/>
    </xf>
    <xf numFmtId="0" fontId="27" fillId="0" borderId="5" xfId="0" applyFont="1" applyBorder="1" applyAlignment="1">
      <alignment horizontal="center" vertical="center"/>
    </xf>
    <xf numFmtId="0" fontId="27" fillId="0" borderId="6" xfId="0" applyFont="1" applyBorder="1" applyAlignment="1">
      <alignment horizontal="center" vertical="center"/>
    </xf>
    <xf numFmtId="0" fontId="27" fillId="0" borderId="2" xfId="0" applyFont="1" applyBorder="1" applyAlignment="1">
      <alignment horizontal="center" vertical="center"/>
    </xf>
    <xf numFmtId="0" fontId="27" fillId="0" borderId="3" xfId="0" applyFont="1" applyBorder="1" applyAlignment="1">
      <alignment horizontal="center" vertical="center"/>
    </xf>
    <xf numFmtId="0" fontId="27" fillId="0" borderId="4" xfId="0" applyFont="1" applyBorder="1" applyAlignment="1">
      <alignment horizontal="center" vertical="center"/>
    </xf>
  </cellXfs>
  <cellStyles count="15">
    <cellStyle name="Jun 3 2" xfId="4" xr:uid="{00000000-0005-0000-0000-000000000000}"/>
    <cellStyle name="百分比" xfId="1" builtinId="5"/>
    <cellStyle name="百分比 2" xfId="13" xr:uid="{FE17153D-9A24-4B75-91C1-6151B6B1CEC8}"/>
    <cellStyle name="常规" xfId="0" builtinId="0"/>
    <cellStyle name="常规 12 2" xfId="6" xr:uid="{00000000-0005-0000-0000-000003000000}"/>
    <cellStyle name="常规 2" xfId="2" xr:uid="{00000000-0005-0000-0000-000004000000}"/>
    <cellStyle name="常规 2 10" xfId="10" xr:uid="{00000000-0005-0000-0000-000005000000}"/>
    <cellStyle name="常规 2 2" xfId="8" xr:uid="{00000000-0005-0000-0000-000006000000}"/>
    <cellStyle name="常规 3" xfId="3" xr:uid="{00000000-0005-0000-0000-000007000000}"/>
    <cellStyle name="常规 4" xfId="5" xr:uid="{00000000-0005-0000-0000-000008000000}"/>
    <cellStyle name="常规 5" xfId="12" xr:uid="{00000000-0005-0000-0000-000009000000}"/>
    <cellStyle name="常规 5 2" xfId="9" xr:uid="{00000000-0005-0000-0000-00000A000000}"/>
    <cellStyle name="常规 7" xfId="7" xr:uid="{00000000-0005-0000-0000-00000B000000}"/>
    <cellStyle name="千位分隔" xfId="11" builtinId="3"/>
    <cellStyle name="千位分隔 2" xfId="14" xr:uid="{06A529E7-8BB4-4212-8CB6-E80093AB38AD}"/>
  </cellStyles>
  <dxfs count="0"/>
  <tableStyles count="0" defaultTableStyle="TableStyleMedium2" defaultPivotStyle="PivotStyleLight16"/>
  <colors>
    <mruColors>
      <color rgb="FFFF778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 Id="rId9" Type="http://schemas.openxmlformats.org/officeDocument/2006/relationships/image" Target="../media/image9.jpeg"/></Relationships>
</file>

<file path=xl/drawings/_rels/drawing2.xml.rels><?xml version="1.0" encoding="UTF-8" standalone="yes"?>
<Relationships xmlns="http://schemas.openxmlformats.org/package/2006/relationships"><Relationship Id="rId1"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11.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8" Type="http://schemas.openxmlformats.org/officeDocument/2006/relationships/image" Target="../media/image19.png"/><Relationship Id="rId3" Type="http://schemas.openxmlformats.org/officeDocument/2006/relationships/image" Target="../media/image14.png"/><Relationship Id="rId7" Type="http://schemas.openxmlformats.org/officeDocument/2006/relationships/image" Target="../media/image18.png"/><Relationship Id="rId2" Type="http://schemas.openxmlformats.org/officeDocument/2006/relationships/image" Target="../media/image13.png"/><Relationship Id="rId1" Type="http://schemas.openxmlformats.org/officeDocument/2006/relationships/image" Target="../media/image12.png"/><Relationship Id="rId6" Type="http://schemas.openxmlformats.org/officeDocument/2006/relationships/image" Target="../media/image17.png"/><Relationship Id="rId11" Type="http://schemas.openxmlformats.org/officeDocument/2006/relationships/image" Target="../media/image22.png"/><Relationship Id="rId5" Type="http://schemas.openxmlformats.org/officeDocument/2006/relationships/image" Target="../media/image16.png"/><Relationship Id="rId10" Type="http://schemas.openxmlformats.org/officeDocument/2006/relationships/image" Target="../media/image21.png"/><Relationship Id="rId4" Type="http://schemas.openxmlformats.org/officeDocument/2006/relationships/image" Target="../media/image15.png"/><Relationship Id="rId9" Type="http://schemas.openxmlformats.org/officeDocument/2006/relationships/image" Target="../media/image20.png"/></Relationships>
</file>

<file path=xl/drawings/_rels/drawing6.xml.rels><?xml version="1.0" encoding="UTF-8" standalone="yes"?>
<Relationships xmlns="http://schemas.openxmlformats.org/package/2006/relationships"><Relationship Id="rId8" Type="http://schemas.openxmlformats.org/officeDocument/2006/relationships/image" Target="../media/image30.png"/><Relationship Id="rId3" Type="http://schemas.openxmlformats.org/officeDocument/2006/relationships/image" Target="../media/image25.jpeg"/><Relationship Id="rId7" Type="http://schemas.openxmlformats.org/officeDocument/2006/relationships/image" Target="../media/image29.png"/><Relationship Id="rId2" Type="http://schemas.openxmlformats.org/officeDocument/2006/relationships/image" Target="../media/image24.png"/><Relationship Id="rId1" Type="http://schemas.openxmlformats.org/officeDocument/2006/relationships/image" Target="../media/image23.jpeg"/><Relationship Id="rId6" Type="http://schemas.openxmlformats.org/officeDocument/2006/relationships/image" Target="../media/image28.png"/><Relationship Id="rId5" Type="http://schemas.openxmlformats.org/officeDocument/2006/relationships/image" Target="../media/image27.png"/><Relationship Id="rId10" Type="http://schemas.openxmlformats.org/officeDocument/2006/relationships/image" Target="../media/image32.png"/><Relationship Id="rId4" Type="http://schemas.openxmlformats.org/officeDocument/2006/relationships/image" Target="../media/image26.png"/><Relationship Id="rId9" Type="http://schemas.openxmlformats.org/officeDocument/2006/relationships/image" Target="../media/image31.png"/></Relationships>
</file>

<file path=xl/drawings/_rels/drawing7.xml.rels><?xml version="1.0" encoding="UTF-8" standalone="yes"?>
<Relationships xmlns="http://schemas.openxmlformats.org/package/2006/relationships"><Relationship Id="rId8" Type="http://schemas.openxmlformats.org/officeDocument/2006/relationships/image" Target="../media/image40.jpeg"/><Relationship Id="rId13" Type="http://schemas.openxmlformats.org/officeDocument/2006/relationships/image" Target="../media/image45.jpeg"/><Relationship Id="rId3" Type="http://schemas.openxmlformats.org/officeDocument/2006/relationships/image" Target="../media/image35.png"/><Relationship Id="rId7" Type="http://schemas.openxmlformats.org/officeDocument/2006/relationships/image" Target="../media/image39.jpeg"/><Relationship Id="rId12" Type="http://schemas.openxmlformats.org/officeDocument/2006/relationships/image" Target="../media/image44.png"/><Relationship Id="rId2" Type="http://schemas.openxmlformats.org/officeDocument/2006/relationships/image" Target="../media/image34.jpeg"/><Relationship Id="rId1" Type="http://schemas.openxmlformats.org/officeDocument/2006/relationships/image" Target="../media/image33.jpeg"/><Relationship Id="rId6" Type="http://schemas.openxmlformats.org/officeDocument/2006/relationships/image" Target="../media/image38.jpeg"/><Relationship Id="rId11" Type="http://schemas.openxmlformats.org/officeDocument/2006/relationships/image" Target="../media/image43.png"/><Relationship Id="rId5" Type="http://schemas.openxmlformats.org/officeDocument/2006/relationships/image" Target="../media/image37.png"/><Relationship Id="rId10" Type="http://schemas.openxmlformats.org/officeDocument/2006/relationships/image" Target="../media/image42.jpeg"/><Relationship Id="rId4" Type="http://schemas.openxmlformats.org/officeDocument/2006/relationships/image" Target="../media/image36.png"/><Relationship Id="rId9" Type="http://schemas.openxmlformats.org/officeDocument/2006/relationships/image" Target="../media/image41.jpeg"/></Relationships>
</file>

<file path=xl/drawings/drawing1.xml><?xml version="1.0" encoding="utf-8"?>
<xdr:wsDr xmlns:xdr="http://schemas.openxmlformats.org/drawingml/2006/spreadsheetDrawing" xmlns:a="http://schemas.openxmlformats.org/drawingml/2006/main">
  <xdr:twoCellAnchor editAs="oneCell">
    <xdr:from>
      <xdr:col>6</xdr:col>
      <xdr:colOff>366712</xdr:colOff>
      <xdr:row>72</xdr:row>
      <xdr:rowOff>7907</xdr:rowOff>
    </xdr:from>
    <xdr:to>
      <xdr:col>13</xdr:col>
      <xdr:colOff>490621</xdr:colOff>
      <xdr:row>77</xdr:row>
      <xdr:rowOff>419143</xdr:rowOff>
    </xdr:to>
    <xdr:pic>
      <xdr:nvPicPr>
        <xdr:cNvPr id="3" name="图片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13087350" y="12352307"/>
          <a:ext cx="4657809" cy="2549599"/>
        </a:xfrm>
        <a:prstGeom prst="rect">
          <a:avLst/>
        </a:prstGeom>
      </xdr:spPr>
    </xdr:pic>
    <xdr:clientData/>
  </xdr:twoCellAnchor>
  <xdr:twoCellAnchor editAs="oneCell">
    <xdr:from>
      <xdr:col>5</xdr:col>
      <xdr:colOff>581027</xdr:colOff>
      <xdr:row>80</xdr:row>
      <xdr:rowOff>103419</xdr:rowOff>
    </xdr:from>
    <xdr:to>
      <xdr:col>11</xdr:col>
      <xdr:colOff>207208</xdr:colOff>
      <xdr:row>95</xdr:row>
      <xdr:rowOff>90487</xdr:rowOff>
    </xdr:to>
    <xdr:pic>
      <xdr:nvPicPr>
        <xdr:cNvPr id="4" name="图片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2"/>
        <a:stretch>
          <a:fillRect/>
        </a:stretch>
      </xdr:blipFill>
      <xdr:spPr>
        <a:xfrm>
          <a:off x="12653965" y="15710132"/>
          <a:ext cx="4531556" cy="2415943"/>
        </a:xfrm>
        <a:prstGeom prst="rect">
          <a:avLst/>
        </a:prstGeom>
      </xdr:spPr>
    </xdr:pic>
    <xdr:clientData/>
  </xdr:twoCellAnchor>
  <xdr:twoCellAnchor editAs="oneCell">
    <xdr:from>
      <xdr:col>5</xdr:col>
      <xdr:colOff>600075</xdr:colOff>
      <xdr:row>96</xdr:row>
      <xdr:rowOff>113390</xdr:rowOff>
    </xdr:from>
    <xdr:to>
      <xdr:col>11</xdr:col>
      <xdr:colOff>277820</xdr:colOff>
      <xdr:row>111</xdr:row>
      <xdr:rowOff>123824</xdr:rowOff>
    </xdr:to>
    <xdr:pic>
      <xdr:nvPicPr>
        <xdr:cNvPr id="5" name="图片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3"/>
        <a:stretch>
          <a:fillRect/>
        </a:stretch>
      </xdr:blipFill>
      <xdr:spPr>
        <a:xfrm>
          <a:off x="12673013" y="18310903"/>
          <a:ext cx="4583120" cy="2439309"/>
        </a:xfrm>
        <a:prstGeom prst="rect">
          <a:avLst/>
        </a:prstGeom>
      </xdr:spPr>
    </xdr:pic>
    <xdr:clientData/>
  </xdr:twoCellAnchor>
  <xdr:twoCellAnchor editAs="oneCell">
    <xdr:from>
      <xdr:col>5</xdr:col>
      <xdr:colOff>633414</xdr:colOff>
      <xdr:row>113</xdr:row>
      <xdr:rowOff>100012</xdr:rowOff>
    </xdr:from>
    <xdr:to>
      <xdr:col>18</xdr:col>
      <xdr:colOff>509885</xdr:colOff>
      <xdr:row>129</xdr:row>
      <xdr:rowOff>19079</xdr:rowOff>
    </xdr:to>
    <xdr:pic>
      <xdr:nvPicPr>
        <xdr:cNvPr id="6" name="图片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4"/>
        <a:stretch>
          <a:fillRect/>
        </a:stretch>
      </xdr:blipFill>
      <xdr:spPr>
        <a:xfrm>
          <a:off x="12706352" y="21050250"/>
          <a:ext cx="9315746" cy="2509867"/>
        </a:xfrm>
        <a:prstGeom prst="rect">
          <a:avLst/>
        </a:prstGeom>
      </xdr:spPr>
    </xdr:pic>
    <xdr:clientData/>
  </xdr:twoCellAnchor>
  <xdr:twoCellAnchor editAs="oneCell">
    <xdr:from>
      <xdr:col>0</xdr:col>
      <xdr:colOff>866776</xdr:colOff>
      <xdr:row>43</xdr:row>
      <xdr:rowOff>42863</xdr:rowOff>
    </xdr:from>
    <xdr:to>
      <xdr:col>1</xdr:col>
      <xdr:colOff>3409869</xdr:colOff>
      <xdr:row>59</xdr:row>
      <xdr:rowOff>19051</xdr:rowOff>
    </xdr:to>
    <xdr:pic>
      <xdr:nvPicPr>
        <xdr:cNvPr id="8" name="图片 7" descr="https://inews.gtimg.com/newsapp_bt/0/13892740228/641">
          <a:extLst>
            <a:ext uri="{FF2B5EF4-FFF2-40B4-BE49-F238E27FC236}">
              <a16:creationId xmlns:a16="http://schemas.microsoft.com/office/drawing/2014/main" id="{00000000-0008-0000-0000-000008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866776" y="7691438"/>
          <a:ext cx="4052806" cy="25669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4305301</xdr:colOff>
      <xdr:row>44</xdr:row>
      <xdr:rowOff>90488</xdr:rowOff>
    </xdr:from>
    <xdr:to>
      <xdr:col>2</xdr:col>
      <xdr:colOff>833456</xdr:colOff>
      <xdr:row>56</xdr:row>
      <xdr:rowOff>57164</xdr:rowOff>
    </xdr:to>
    <xdr:pic>
      <xdr:nvPicPr>
        <xdr:cNvPr id="9" name="图片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6"/>
        <a:stretch>
          <a:fillRect/>
        </a:stretch>
      </xdr:blipFill>
      <xdr:spPr>
        <a:xfrm>
          <a:off x="5815014" y="7900988"/>
          <a:ext cx="2395555" cy="1909776"/>
        </a:xfrm>
        <a:prstGeom prst="rect">
          <a:avLst/>
        </a:prstGeom>
      </xdr:spPr>
    </xdr:pic>
    <xdr:clientData/>
  </xdr:twoCellAnchor>
  <xdr:twoCellAnchor editAs="oneCell">
    <xdr:from>
      <xdr:col>1</xdr:col>
      <xdr:colOff>71436</xdr:colOff>
      <xdr:row>138</xdr:row>
      <xdr:rowOff>33337</xdr:rowOff>
    </xdr:from>
    <xdr:to>
      <xdr:col>2</xdr:col>
      <xdr:colOff>290556</xdr:colOff>
      <xdr:row>160</xdr:row>
      <xdr:rowOff>114326</xdr:rowOff>
    </xdr:to>
    <xdr:pic>
      <xdr:nvPicPr>
        <xdr:cNvPr id="11" name="图片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7"/>
        <a:stretch>
          <a:fillRect/>
        </a:stretch>
      </xdr:blipFill>
      <xdr:spPr>
        <a:xfrm>
          <a:off x="1581149" y="24555450"/>
          <a:ext cx="6086520" cy="3643339"/>
        </a:xfrm>
        <a:prstGeom prst="rect">
          <a:avLst/>
        </a:prstGeom>
      </xdr:spPr>
    </xdr:pic>
    <xdr:clientData/>
  </xdr:twoCellAnchor>
  <xdr:twoCellAnchor editAs="oneCell">
    <xdr:from>
      <xdr:col>1</xdr:col>
      <xdr:colOff>2681288</xdr:colOff>
      <xdr:row>83</xdr:row>
      <xdr:rowOff>95250</xdr:rowOff>
    </xdr:from>
    <xdr:to>
      <xdr:col>3</xdr:col>
      <xdr:colOff>1752601</xdr:colOff>
      <xdr:row>106</xdr:row>
      <xdr:rowOff>38100</xdr:rowOff>
    </xdr:to>
    <xdr:pic>
      <xdr:nvPicPr>
        <xdr:cNvPr id="12" name="图片 11" descr="https://p4.itc.cn/q_70/images03/20210119/1cc7844ab92b4c27878ca98f64939f64.png">
          <a:extLst>
            <a:ext uri="{FF2B5EF4-FFF2-40B4-BE49-F238E27FC236}">
              <a16:creationId xmlns:a16="http://schemas.microsoft.com/office/drawing/2014/main" id="{00000000-0008-0000-0000-00000C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4191001" y="15549563"/>
          <a:ext cx="6238875" cy="36671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1476375</xdr:colOff>
      <xdr:row>167</xdr:row>
      <xdr:rowOff>23811</xdr:rowOff>
    </xdr:from>
    <xdr:to>
      <xdr:col>1</xdr:col>
      <xdr:colOff>5643563</xdr:colOff>
      <xdr:row>206</xdr:row>
      <xdr:rowOff>119061</xdr:rowOff>
    </xdr:to>
    <xdr:pic>
      <xdr:nvPicPr>
        <xdr:cNvPr id="13" name="图片 12" descr="https://t11.baidu.com/it/u=1894791490,2858145982&amp;fm=173&amp;app=25&amp;f=JPEG?w=596&amp;h=673&amp;s=C900E91A118F54EA406DE0D60200D0B3">
          <a:extLst>
            <a:ext uri="{FF2B5EF4-FFF2-40B4-BE49-F238E27FC236}">
              <a16:creationId xmlns:a16="http://schemas.microsoft.com/office/drawing/2014/main" id="{00000000-0008-0000-0000-00000D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476375" y="31565849"/>
          <a:ext cx="5676901" cy="6410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24</xdr:col>
      <xdr:colOff>361950</xdr:colOff>
      <xdr:row>18</xdr:row>
      <xdr:rowOff>0</xdr:rowOff>
    </xdr:from>
    <xdr:to>
      <xdr:col>32</xdr:col>
      <xdr:colOff>555625</xdr:colOff>
      <xdr:row>28</xdr:row>
      <xdr:rowOff>38620</xdr:rowOff>
    </xdr:to>
    <xdr:pic>
      <xdr:nvPicPr>
        <xdr:cNvPr id="2" name="图片 1">
          <a:extLst>
            <a:ext uri="{FF2B5EF4-FFF2-40B4-BE49-F238E27FC236}">
              <a16:creationId xmlns:a16="http://schemas.microsoft.com/office/drawing/2014/main" id="{18718785-B39C-4C80-9892-720285876C8F}"/>
            </a:ext>
          </a:extLst>
        </xdr:cNvPr>
        <xdr:cNvPicPr>
          <a:picLocks noChangeAspect="1"/>
        </xdr:cNvPicPr>
      </xdr:nvPicPr>
      <xdr:blipFill>
        <a:blip xmlns:r="http://schemas.openxmlformats.org/officeDocument/2006/relationships" r:embed="rId1"/>
        <a:stretch>
          <a:fillRect/>
        </a:stretch>
      </xdr:blipFill>
      <xdr:spPr>
        <a:xfrm>
          <a:off x="11226800" y="8104862"/>
          <a:ext cx="6089650" cy="158484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361950</xdr:colOff>
      <xdr:row>18</xdr:row>
      <xdr:rowOff>113586</xdr:rowOff>
    </xdr:from>
    <xdr:to>
      <xdr:col>4</xdr:col>
      <xdr:colOff>646090</xdr:colOff>
      <xdr:row>30</xdr:row>
      <xdr:rowOff>50143</xdr:rowOff>
    </xdr:to>
    <xdr:pic>
      <xdr:nvPicPr>
        <xdr:cNvPr id="4" name="图片 3">
          <a:extLst>
            <a:ext uri="{FF2B5EF4-FFF2-40B4-BE49-F238E27FC236}">
              <a16:creationId xmlns:a16="http://schemas.microsoft.com/office/drawing/2014/main" id="{A712AA6E-EBBB-4914-90B4-7CB6B014C90D}"/>
            </a:ext>
          </a:extLst>
        </xdr:cNvPr>
        <xdr:cNvPicPr>
          <a:picLocks noChangeAspect="1"/>
        </xdr:cNvPicPr>
      </xdr:nvPicPr>
      <xdr:blipFill>
        <a:blip xmlns:r="http://schemas.openxmlformats.org/officeDocument/2006/relationships" r:embed="rId1"/>
        <a:stretch>
          <a:fillRect/>
        </a:stretch>
      </xdr:blipFill>
      <xdr:spPr>
        <a:xfrm>
          <a:off x="361950" y="3231436"/>
          <a:ext cx="4837090" cy="197490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24</xdr:col>
      <xdr:colOff>361950</xdr:colOff>
      <xdr:row>16</xdr:row>
      <xdr:rowOff>0</xdr:rowOff>
    </xdr:from>
    <xdr:to>
      <xdr:col>32</xdr:col>
      <xdr:colOff>327025</xdr:colOff>
      <xdr:row>26</xdr:row>
      <xdr:rowOff>38620</xdr:rowOff>
    </xdr:to>
    <xdr:pic>
      <xdr:nvPicPr>
        <xdr:cNvPr id="2" name="图片 1">
          <a:extLst>
            <a:ext uri="{FF2B5EF4-FFF2-40B4-BE49-F238E27FC236}">
              <a16:creationId xmlns:a16="http://schemas.microsoft.com/office/drawing/2014/main" id="{7851A9E9-7FAA-449C-99E5-E629CEACA5E7}"/>
            </a:ext>
          </a:extLst>
        </xdr:cNvPr>
        <xdr:cNvPicPr>
          <a:picLocks noChangeAspect="1"/>
        </xdr:cNvPicPr>
      </xdr:nvPicPr>
      <xdr:blipFill>
        <a:blip xmlns:r="http://schemas.openxmlformats.org/officeDocument/2006/relationships" r:embed="rId1"/>
        <a:stretch>
          <a:fillRect/>
        </a:stretch>
      </xdr:blipFill>
      <xdr:spPr>
        <a:xfrm>
          <a:off x="19202400" y="8035012"/>
          <a:ext cx="6032500" cy="165787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638175</xdr:colOff>
      <xdr:row>0</xdr:row>
      <xdr:rowOff>0</xdr:rowOff>
    </xdr:from>
    <xdr:to>
      <xdr:col>4</xdr:col>
      <xdr:colOff>419108</xdr:colOff>
      <xdr:row>13</xdr:row>
      <xdr:rowOff>14304</xdr:rowOff>
    </xdr:to>
    <xdr:pic>
      <xdr:nvPicPr>
        <xdr:cNvPr id="2" name="图片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a:stretch>
          <a:fillRect/>
        </a:stretch>
      </xdr:blipFill>
      <xdr:spPr>
        <a:xfrm>
          <a:off x="1933575" y="0"/>
          <a:ext cx="1076333" cy="2243154"/>
        </a:xfrm>
        <a:prstGeom prst="rect">
          <a:avLst/>
        </a:prstGeom>
      </xdr:spPr>
    </xdr:pic>
    <xdr:clientData/>
  </xdr:twoCellAnchor>
  <xdr:twoCellAnchor editAs="oneCell">
    <xdr:from>
      <xdr:col>4</xdr:col>
      <xdr:colOff>504825</xdr:colOff>
      <xdr:row>0</xdr:row>
      <xdr:rowOff>0</xdr:rowOff>
    </xdr:from>
    <xdr:to>
      <xdr:col>6</xdr:col>
      <xdr:colOff>323858</xdr:colOff>
      <xdr:row>23</xdr:row>
      <xdr:rowOff>38129</xdr:rowOff>
    </xdr:to>
    <xdr:pic>
      <xdr:nvPicPr>
        <xdr:cNvPr id="3" name="图片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a:stretch>
          <a:fillRect/>
        </a:stretch>
      </xdr:blipFill>
      <xdr:spPr>
        <a:xfrm>
          <a:off x="3095625" y="0"/>
          <a:ext cx="1114433" cy="3981479"/>
        </a:xfrm>
        <a:prstGeom prst="rect">
          <a:avLst/>
        </a:prstGeom>
      </xdr:spPr>
    </xdr:pic>
    <xdr:clientData/>
  </xdr:twoCellAnchor>
  <xdr:twoCellAnchor editAs="oneCell">
    <xdr:from>
      <xdr:col>6</xdr:col>
      <xdr:colOff>528638</xdr:colOff>
      <xdr:row>0</xdr:row>
      <xdr:rowOff>0</xdr:rowOff>
    </xdr:from>
    <xdr:to>
      <xdr:col>8</xdr:col>
      <xdr:colOff>352434</xdr:colOff>
      <xdr:row>23</xdr:row>
      <xdr:rowOff>52417</xdr:rowOff>
    </xdr:to>
    <xdr:pic>
      <xdr:nvPicPr>
        <xdr:cNvPr id="4" name="图片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3"/>
        <a:stretch>
          <a:fillRect/>
        </a:stretch>
      </xdr:blipFill>
      <xdr:spPr>
        <a:xfrm>
          <a:off x="4414838" y="0"/>
          <a:ext cx="1119196" cy="3995767"/>
        </a:xfrm>
        <a:prstGeom prst="rect">
          <a:avLst/>
        </a:prstGeom>
      </xdr:spPr>
    </xdr:pic>
    <xdr:clientData/>
  </xdr:twoCellAnchor>
  <xdr:twoCellAnchor editAs="oneCell">
    <xdr:from>
      <xdr:col>3</xdr:col>
      <xdr:colOff>219074</xdr:colOff>
      <xdr:row>49</xdr:row>
      <xdr:rowOff>114300</xdr:rowOff>
    </xdr:from>
    <xdr:to>
      <xdr:col>5</xdr:col>
      <xdr:colOff>95258</xdr:colOff>
      <xdr:row>73</xdr:row>
      <xdr:rowOff>42892</xdr:rowOff>
    </xdr:to>
    <xdr:pic>
      <xdr:nvPicPr>
        <xdr:cNvPr id="5" name="图片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4"/>
        <a:stretch>
          <a:fillRect/>
        </a:stretch>
      </xdr:blipFill>
      <xdr:spPr>
        <a:xfrm>
          <a:off x="2162174" y="8515350"/>
          <a:ext cx="1171584" cy="4043392"/>
        </a:xfrm>
        <a:prstGeom prst="rect">
          <a:avLst/>
        </a:prstGeom>
      </xdr:spPr>
    </xdr:pic>
    <xdr:clientData/>
  </xdr:twoCellAnchor>
  <xdr:twoCellAnchor editAs="oneCell">
    <xdr:from>
      <xdr:col>3</xdr:col>
      <xdr:colOff>371475</xdr:colOff>
      <xdr:row>97</xdr:row>
      <xdr:rowOff>157163</xdr:rowOff>
    </xdr:from>
    <xdr:to>
      <xdr:col>5</xdr:col>
      <xdr:colOff>233371</xdr:colOff>
      <xdr:row>121</xdr:row>
      <xdr:rowOff>109568</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5"/>
        <a:stretch>
          <a:fillRect/>
        </a:stretch>
      </xdr:blipFill>
      <xdr:spPr>
        <a:xfrm>
          <a:off x="2314575" y="16787813"/>
          <a:ext cx="1157296" cy="4067205"/>
        </a:xfrm>
        <a:prstGeom prst="rect">
          <a:avLst/>
        </a:prstGeom>
      </xdr:spPr>
    </xdr:pic>
    <xdr:clientData/>
  </xdr:twoCellAnchor>
  <xdr:twoCellAnchor editAs="oneCell">
    <xdr:from>
      <xdr:col>5</xdr:col>
      <xdr:colOff>514350</xdr:colOff>
      <xdr:row>97</xdr:row>
      <xdr:rowOff>123825</xdr:rowOff>
    </xdr:from>
    <xdr:to>
      <xdr:col>7</xdr:col>
      <xdr:colOff>447684</xdr:colOff>
      <xdr:row>121</xdr:row>
      <xdr:rowOff>76230</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6"/>
        <a:stretch>
          <a:fillRect/>
        </a:stretch>
      </xdr:blipFill>
      <xdr:spPr>
        <a:xfrm>
          <a:off x="3752850" y="16754475"/>
          <a:ext cx="1228734" cy="4067205"/>
        </a:xfrm>
        <a:prstGeom prst="rect">
          <a:avLst/>
        </a:prstGeom>
      </xdr:spPr>
    </xdr:pic>
    <xdr:clientData/>
  </xdr:twoCellAnchor>
  <xdr:twoCellAnchor editAs="oneCell">
    <xdr:from>
      <xdr:col>2</xdr:col>
      <xdr:colOff>0</xdr:colOff>
      <xdr:row>122</xdr:row>
      <xdr:rowOff>9525</xdr:rowOff>
    </xdr:from>
    <xdr:to>
      <xdr:col>3</xdr:col>
      <xdr:colOff>547696</xdr:colOff>
      <xdr:row>145</xdr:row>
      <xdr:rowOff>80992</xdr:rowOff>
    </xdr:to>
    <xdr:pic>
      <xdr:nvPicPr>
        <xdr:cNvPr id="8" name="图片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7"/>
        <a:stretch>
          <a:fillRect/>
        </a:stretch>
      </xdr:blipFill>
      <xdr:spPr>
        <a:xfrm>
          <a:off x="1295400" y="20926425"/>
          <a:ext cx="1195396" cy="4014817"/>
        </a:xfrm>
        <a:prstGeom prst="rect">
          <a:avLst/>
        </a:prstGeom>
      </xdr:spPr>
    </xdr:pic>
    <xdr:clientData/>
  </xdr:twoCellAnchor>
  <xdr:twoCellAnchor editAs="oneCell">
    <xdr:from>
      <xdr:col>1</xdr:col>
      <xdr:colOff>614362</xdr:colOff>
      <xdr:row>145</xdr:row>
      <xdr:rowOff>23813</xdr:rowOff>
    </xdr:from>
    <xdr:to>
      <xdr:col>3</xdr:col>
      <xdr:colOff>566746</xdr:colOff>
      <xdr:row>169</xdr:row>
      <xdr:rowOff>28606</xdr:rowOff>
    </xdr:to>
    <xdr:pic>
      <xdr:nvPicPr>
        <xdr:cNvPr id="9" name="图片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8"/>
        <a:stretch>
          <a:fillRect/>
        </a:stretch>
      </xdr:blipFill>
      <xdr:spPr>
        <a:xfrm>
          <a:off x="1262062" y="24884063"/>
          <a:ext cx="1247784" cy="4119593"/>
        </a:xfrm>
        <a:prstGeom prst="rect">
          <a:avLst/>
        </a:prstGeom>
      </xdr:spPr>
    </xdr:pic>
    <xdr:clientData/>
  </xdr:twoCellAnchor>
  <xdr:twoCellAnchor editAs="oneCell">
    <xdr:from>
      <xdr:col>5</xdr:col>
      <xdr:colOff>328612</xdr:colOff>
      <xdr:row>49</xdr:row>
      <xdr:rowOff>152400</xdr:rowOff>
    </xdr:from>
    <xdr:to>
      <xdr:col>7</xdr:col>
      <xdr:colOff>252421</xdr:colOff>
      <xdr:row>73</xdr:row>
      <xdr:rowOff>128617</xdr:rowOff>
    </xdr:to>
    <xdr:pic>
      <xdr:nvPicPr>
        <xdr:cNvPr id="10" name="图片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9"/>
        <a:stretch>
          <a:fillRect/>
        </a:stretch>
      </xdr:blipFill>
      <xdr:spPr>
        <a:xfrm>
          <a:off x="3567112" y="8553450"/>
          <a:ext cx="1219209" cy="4091017"/>
        </a:xfrm>
        <a:prstGeom prst="rect">
          <a:avLst/>
        </a:prstGeom>
      </xdr:spPr>
    </xdr:pic>
    <xdr:clientData/>
  </xdr:twoCellAnchor>
  <xdr:twoCellAnchor editAs="oneCell">
    <xdr:from>
      <xdr:col>3</xdr:col>
      <xdr:colOff>252412</xdr:colOff>
      <xdr:row>74</xdr:row>
      <xdr:rowOff>147637</xdr:rowOff>
    </xdr:from>
    <xdr:to>
      <xdr:col>5</xdr:col>
      <xdr:colOff>161933</xdr:colOff>
      <xdr:row>98</xdr:row>
      <xdr:rowOff>28604</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0"/>
        <a:stretch>
          <a:fillRect/>
        </a:stretch>
      </xdr:blipFill>
      <xdr:spPr>
        <a:xfrm>
          <a:off x="2195512" y="12834937"/>
          <a:ext cx="1204921" cy="3995767"/>
        </a:xfrm>
        <a:prstGeom prst="rect">
          <a:avLst/>
        </a:prstGeom>
      </xdr:spPr>
    </xdr:pic>
    <xdr:clientData/>
  </xdr:twoCellAnchor>
  <xdr:twoCellAnchor editAs="oneCell">
    <xdr:from>
      <xdr:col>5</xdr:col>
      <xdr:colOff>304800</xdr:colOff>
      <xdr:row>74</xdr:row>
      <xdr:rowOff>52388</xdr:rowOff>
    </xdr:from>
    <xdr:to>
      <xdr:col>7</xdr:col>
      <xdr:colOff>352435</xdr:colOff>
      <xdr:row>83</xdr:row>
      <xdr:rowOff>142887</xdr:rowOff>
    </xdr:to>
    <xdr:pic>
      <xdr:nvPicPr>
        <xdr:cNvPr id="12" name="图片 11">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11"/>
        <a:stretch>
          <a:fillRect/>
        </a:stretch>
      </xdr:blipFill>
      <xdr:spPr>
        <a:xfrm>
          <a:off x="3543300" y="12739688"/>
          <a:ext cx="1343035" cy="163354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10</xdr:col>
      <xdr:colOff>495300</xdr:colOff>
      <xdr:row>96</xdr:row>
      <xdr:rowOff>76200</xdr:rowOff>
    </xdr:from>
    <xdr:to>
      <xdr:col>19</xdr:col>
      <xdr:colOff>481690</xdr:colOff>
      <xdr:row>147</xdr:row>
      <xdr:rowOff>1</xdr:rowOff>
    </xdr:to>
    <xdr:pic>
      <xdr:nvPicPr>
        <xdr:cNvPr id="3" name="图片 2" descr="https://pics0.baidu.com/feed/8718367adab44aed881f37d0c4ecb109a08bfbae.jpeg?token=483a8994f66460d63e882aa82f290acc">
          <a:extLst>
            <a:ext uri="{FF2B5EF4-FFF2-40B4-BE49-F238E27FC236}">
              <a16:creationId xmlns:a16="http://schemas.microsoft.com/office/drawing/2014/main" id="{00000000-0008-0000-01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406063" y="16835438"/>
          <a:ext cx="6096000" cy="81819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657226</xdr:colOff>
      <xdr:row>119</xdr:row>
      <xdr:rowOff>47624</xdr:rowOff>
    </xdr:from>
    <xdr:to>
      <xdr:col>9</xdr:col>
      <xdr:colOff>902543</xdr:colOff>
      <xdr:row>134</xdr:row>
      <xdr:rowOff>101775</xdr:rowOff>
    </xdr:to>
    <xdr:pic>
      <xdr:nvPicPr>
        <xdr:cNvPr id="4" name="图片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2"/>
        <a:stretch>
          <a:fillRect/>
        </a:stretch>
      </xdr:blipFill>
      <xdr:spPr>
        <a:xfrm>
          <a:off x="5686426" y="21550312"/>
          <a:ext cx="4766975" cy="2465338"/>
        </a:xfrm>
        <a:prstGeom prst="rect">
          <a:avLst/>
        </a:prstGeom>
      </xdr:spPr>
    </xdr:pic>
    <xdr:clientData/>
  </xdr:twoCellAnchor>
  <xdr:twoCellAnchor editAs="oneCell">
    <xdr:from>
      <xdr:col>4</xdr:col>
      <xdr:colOff>1133475</xdr:colOff>
      <xdr:row>138</xdr:row>
      <xdr:rowOff>142875</xdr:rowOff>
    </xdr:from>
    <xdr:to>
      <xdr:col>9</xdr:col>
      <xdr:colOff>747028</xdr:colOff>
      <xdr:row>283</xdr:row>
      <xdr:rowOff>61229</xdr:rowOff>
    </xdr:to>
    <xdr:pic>
      <xdr:nvPicPr>
        <xdr:cNvPr id="5" name="图片 4" descr="http://5b0988e595225.cdn.sohucs.com/images/20191010/d395e8e606e144429194a97d797c35f4.jpeg">
          <a:extLst>
            <a:ext uri="{FF2B5EF4-FFF2-40B4-BE49-F238E27FC236}">
              <a16:creationId xmlns:a16="http://schemas.microsoft.com/office/drawing/2014/main" id="{00000000-0008-0000-0100-000005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024438" y="24722138"/>
          <a:ext cx="5222421" cy="233934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66675</xdr:colOff>
      <xdr:row>148</xdr:row>
      <xdr:rowOff>100013</xdr:rowOff>
    </xdr:from>
    <xdr:to>
      <xdr:col>19</xdr:col>
      <xdr:colOff>119062</xdr:colOff>
      <xdr:row>176</xdr:row>
      <xdr:rowOff>109538</xdr:rowOff>
    </xdr:to>
    <xdr:pic>
      <xdr:nvPicPr>
        <xdr:cNvPr id="6" name="图片 5" descr="https://pics1.baidu.com/feed/f3d3572c11dfa9ec825559a6112a830b908fc10e.png?token=b7d5fe9a11b0f586997804c2f08cb5f0">
          <a:extLst>
            <a:ext uri="{FF2B5EF4-FFF2-40B4-BE49-F238E27FC236}">
              <a16:creationId xmlns:a16="http://schemas.microsoft.com/office/drawing/2014/main" id="{00000000-0008-0000-0100-000006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1134725" y="26298526"/>
          <a:ext cx="5233987" cy="4543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752475</xdr:colOff>
      <xdr:row>180</xdr:row>
      <xdr:rowOff>95250</xdr:rowOff>
    </xdr:from>
    <xdr:to>
      <xdr:col>19</xdr:col>
      <xdr:colOff>247650</xdr:colOff>
      <xdr:row>201</xdr:row>
      <xdr:rowOff>19050</xdr:rowOff>
    </xdr:to>
    <xdr:pic>
      <xdr:nvPicPr>
        <xdr:cNvPr id="7" name="图片 6">
          <a:extLst>
            <a:ext uri="{FF2B5EF4-FFF2-40B4-BE49-F238E27FC236}">
              <a16:creationId xmlns:a16="http://schemas.microsoft.com/office/drawing/2014/main" id="{57D157DD-6190-4882-8BF1-B085CE506597}"/>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0972800" y="30137100"/>
          <a:ext cx="5238750" cy="33242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219</xdr:row>
      <xdr:rowOff>0</xdr:rowOff>
    </xdr:from>
    <xdr:to>
      <xdr:col>26</xdr:col>
      <xdr:colOff>381000</xdr:colOff>
      <xdr:row>254</xdr:row>
      <xdr:rowOff>133350</xdr:rowOff>
    </xdr:to>
    <xdr:pic>
      <xdr:nvPicPr>
        <xdr:cNvPr id="8" name="图片 7">
          <a:extLst>
            <a:ext uri="{FF2B5EF4-FFF2-40B4-BE49-F238E27FC236}">
              <a16:creationId xmlns:a16="http://schemas.microsoft.com/office/drawing/2014/main" id="{4D83D2C3-43B6-46D7-BABF-C4EC001F5F3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1087100" y="36356925"/>
          <a:ext cx="9525000" cy="5800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271</xdr:row>
      <xdr:rowOff>0</xdr:rowOff>
    </xdr:from>
    <xdr:to>
      <xdr:col>26</xdr:col>
      <xdr:colOff>228600</xdr:colOff>
      <xdr:row>306</xdr:row>
      <xdr:rowOff>57150</xdr:rowOff>
    </xdr:to>
    <xdr:pic>
      <xdr:nvPicPr>
        <xdr:cNvPr id="9" name="图片 8">
          <a:extLst>
            <a:ext uri="{FF2B5EF4-FFF2-40B4-BE49-F238E27FC236}">
              <a16:creationId xmlns:a16="http://schemas.microsoft.com/office/drawing/2014/main" id="{E668A9AF-9F02-4C92-B1C0-5CDFFF3019B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1087100" y="44777025"/>
          <a:ext cx="9372600" cy="5895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324</xdr:row>
      <xdr:rowOff>0</xdr:rowOff>
    </xdr:from>
    <xdr:to>
      <xdr:col>25</xdr:col>
      <xdr:colOff>123825</xdr:colOff>
      <xdr:row>359</xdr:row>
      <xdr:rowOff>133350</xdr:rowOff>
    </xdr:to>
    <xdr:pic>
      <xdr:nvPicPr>
        <xdr:cNvPr id="10" name="图片 9">
          <a:extLst>
            <a:ext uri="{FF2B5EF4-FFF2-40B4-BE49-F238E27FC236}">
              <a16:creationId xmlns:a16="http://schemas.microsoft.com/office/drawing/2014/main" id="{2D9BC948-4901-4DFF-BAE6-54448A130EA8}"/>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1087100" y="53359050"/>
          <a:ext cx="8658225" cy="58007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19050</xdr:colOff>
      <xdr:row>337</xdr:row>
      <xdr:rowOff>123825</xdr:rowOff>
    </xdr:from>
    <xdr:to>
      <xdr:col>10</xdr:col>
      <xdr:colOff>219075</xdr:colOff>
      <xdr:row>372</xdr:row>
      <xdr:rowOff>28575</xdr:rowOff>
    </xdr:to>
    <xdr:pic>
      <xdr:nvPicPr>
        <xdr:cNvPr id="11" name="图片 10">
          <a:extLst>
            <a:ext uri="{FF2B5EF4-FFF2-40B4-BE49-F238E27FC236}">
              <a16:creationId xmlns:a16="http://schemas.microsoft.com/office/drawing/2014/main" id="{3C76E35E-2AAA-4204-BCD5-1CF72300D328}"/>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914400" y="55587900"/>
          <a:ext cx="9525000" cy="5667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377</xdr:row>
      <xdr:rowOff>0</xdr:rowOff>
    </xdr:from>
    <xdr:to>
      <xdr:col>9</xdr:col>
      <xdr:colOff>1457325</xdr:colOff>
      <xdr:row>412</xdr:row>
      <xdr:rowOff>66675</xdr:rowOff>
    </xdr:to>
    <xdr:pic>
      <xdr:nvPicPr>
        <xdr:cNvPr id="12" name="图片 11">
          <a:extLst>
            <a:ext uri="{FF2B5EF4-FFF2-40B4-BE49-F238E27FC236}">
              <a16:creationId xmlns:a16="http://schemas.microsoft.com/office/drawing/2014/main" id="{B503A8AE-F36A-487F-99F4-6103E4221D9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895350" y="62036325"/>
          <a:ext cx="9191625" cy="57340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3</xdr:col>
      <xdr:colOff>833438</xdr:colOff>
      <xdr:row>89</xdr:row>
      <xdr:rowOff>128588</xdr:rowOff>
    </xdr:from>
    <xdr:to>
      <xdr:col>7</xdr:col>
      <xdr:colOff>1127353</xdr:colOff>
      <xdr:row>115</xdr:row>
      <xdr:rowOff>109538</xdr:rowOff>
    </xdr:to>
    <xdr:pic>
      <xdr:nvPicPr>
        <xdr:cNvPr id="2" name="图片 1" descr="https://pics2.baidu.com/feed/54fbb2fb43166d22073158ca6bbf42ff9152d24a.jpeg?token=225dfff11e5789292df18ddcbcea20aa">
          <a:extLst>
            <a:ext uri="{FF2B5EF4-FFF2-40B4-BE49-F238E27FC236}">
              <a16:creationId xmlns:a16="http://schemas.microsoft.com/office/drawing/2014/main" id="{00000000-0008-0000-02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753101" y="15616238"/>
          <a:ext cx="5676900" cy="4191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319088</xdr:colOff>
      <xdr:row>91</xdr:row>
      <xdr:rowOff>114299</xdr:rowOff>
    </xdr:from>
    <xdr:to>
      <xdr:col>17</xdr:col>
      <xdr:colOff>251053</xdr:colOff>
      <xdr:row>113</xdr:row>
      <xdr:rowOff>102049</xdr:rowOff>
    </xdr:to>
    <xdr:pic>
      <xdr:nvPicPr>
        <xdr:cNvPr id="3" name="图片 2" descr="https://pics2.baidu.com/feed/cb8065380cd79123a4ee6d498da8128ab2b78021.jpeg?token=edf237468914476a7cacf70f5bd34450">
          <a:extLst>
            <a:ext uri="{FF2B5EF4-FFF2-40B4-BE49-F238E27FC236}">
              <a16:creationId xmlns:a16="http://schemas.microsoft.com/office/drawing/2014/main" id="{00000000-0008-0000-02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1934826" y="15925799"/>
          <a:ext cx="5600700" cy="35433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347662</xdr:colOff>
      <xdr:row>118</xdr:row>
      <xdr:rowOff>109538</xdr:rowOff>
    </xdr:from>
    <xdr:to>
      <xdr:col>3</xdr:col>
      <xdr:colOff>823246</xdr:colOff>
      <xdr:row>143</xdr:row>
      <xdr:rowOff>152430</xdr:rowOff>
    </xdr:to>
    <xdr:pic>
      <xdr:nvPicPr>
        <xdr:cNvPr id="4" name="图片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
        <a:stretch>
          <a:fillRect/>
        </a:stretch>
      </xdr:blipFill>
      <xdr:spPr>
        <a:xfrm>
          <a:off x="3648075" y="18835688"/>
          <a:ext cx="2081228" cy="4091017"/>
        </a:xfrm>
        <a:prstGeom prst="rect">
          <a:avLst/>
        </a:prstGeom>
      </xdr:spPr>
    </xdr:pic>
    <xdr:clientData/>
  </xdr:twoCellAnchor>
  <xdr:twoCellAnchor editAs="oneCell">
    <xdr:from>
      <xdr:col>3</xdr:col>
      <xdr:colOff>1028700</xdr:colOff>
      <xdr:row>118</xdr:row>
      <xdr:rowOff>142875</xdr:rowOff>
    </xdr:from>
    <xdr:to>
      <xdr:col>5</xdr:col>
      <xdr:colOff>291885</xdr:colOff>
      <xdr:row>148</xdr:row>
      <xdr:rowOff>60584</xdr:rowOff>
    </xdr:to>
    <xdr:pic>
      <xdr:nvPicPr>
        <xdr:cNvPr id="5" name="图片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4"/>
        <a:stretch>
          <a:fillRect/>
        </a:stretch>
      </xdr:blipFill>
      <xdr:spPr>
        <a:xfrm>
          <a:off x="5948363" y="18869025"/>
          <a:ext cx="2085990" cy="4776822"/>
        </a:xfrm>
        <a:prstGeom prst="rect">
          <a:avLst/>
        </a:prstGeom>
      </xdr:spPr>
    </xdr:pic>
    <xdr:clientData/>
  </xdr:twoCellAnchor>
  <xdr:twoCellAnchor editAs="oneCell">
    <xdr:from>
      <xdr:col>5</xdr:col>
      <xdr:colOff>1085852</xdr:colOff>
      <xdr:row>118</xdr:row>
      <xdr:rowOff>100011</xdr:rowOff>
    </xdr:from>
    <xdr:to>
      <xdr:col>8</xdr:col>
      <xdr:colOff>327953</xdr:colOff>
      <xdr:row>222</xdr:row>
      <xdr:rowOff>76321</xdr:rowOff>
    </xdr:to>
    <xdr:pic>
      <xdr:nvPicPr>
        <xdr:cNvPr id="6" name="图片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5"/>
        <a:stretch>
          <a:fillRect/>
        </a:stretch>
      </xdr:blipFill>
      <xdr:spPr>
        <a:xfrm>
          <a:off x="8839202" y="18826161"/>
          <a:ext cx="3048022" cy="16816510"/>
        </a:xfrm>
        <a:prstGeom prst="rect">
          <a:avLst/>
        </a:prstGeom>
      </xdr:spPr>
    </xdr:pic>
    <xdr:clientData/>
  </xdr:twoCellAnchor>
  <xdr:twoCellAnchor editAs="oneCell">
    <xdr:from>
      <xdr:col>10</xdr:col>
      <xdr:colOff>378370</xdr:colOff>
      <xdr:row>119</xdr:row>
      <xdr:rowOff>52386</xdr:rowOff>
    </xdr:from>
    <xdr:to>
      <xdr:col>15</xdr:col>
      <xdr:colOff>140829</xdr:colOff>
      <xdr:row>229</xdr:row>
      <xdr:rowOff>290507</xdr:rowOff>
    </xdr:to>
    <xdr:pic>
      <xdr:nvPicPr>
        <xdr:cNvPr id="7" name="图片 6" descr="Image">
          <a:extLst>
            <a:ext uri="{FF2B5EF4-FFF2-40B4-BE49-F238E27FC236}">
              <a16:creationId xmlns:a16="http://schemas.microsoft.com/office/drawing/2014/main" id="{00000000-0008-0000-0200-000007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2103645" y="20397786"/>
          <a:ext cx="2998241" cy="180784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15</xdr:col>
      <xdr:colOff>156788</xdr:colOff>
      <xdr:row>119</xdr:row>
      <xdr:rowOff>38101</xdr:rowOff>
    </xdr:from>
    <xdr:to>
      <xdr:col>21</xdr:col>
      <xdr:colOff>63949</xdr:colOff>
      <xdr:row>226</xdr:row>
      <xdr:rowOff>26529</xdr:rowOff>
    </xdr:to>
    <xdr:pic>
      <xdr:nvPicPr>
        <xdr:cNvPr id="8" name="图片 7" descr="Image">
          <a:extLst>
            <a:ext uri="{FF2B5EF4-FFF2-40B4-BE49-F238E27FC236}">
              <a16:creationId xmlns:a16="http://schemas.microsoft.com/office/drawing/2014/main" id="{00000000-0008-0000-0200-00000800000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120563" y="20383501"/>
          <a:ext cx="3786561" cy="173116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21</xdr:col>
      <xdr:colOff>66683</xdr:colOff>
      <xdr:row>119</xdr:row>
      <xdr:rowOff>76199</xdr:rowOff>
    </xdr:from>
    <xdr:to>
      <xdr:col>26</xdr:col>
      <xdr:colOff>330649</xdr:colOff>
      <xdr:row>229</xdr:row>
      <xdr:rowOff>328608</xdr:rowOff>
    </xdr:to>
    <xdr:pic>
      <xdr:nvPicPr>
        <xdr:cNvPr id="9" name="图片 8" descr="Image">
          <a:extLst>
            <a:ext uri="{FF2B5EF4-FFF2-40B4-BE49-F238E27FC236}">
              <a16:creationId xmlns:a16="http://schemas.microsoft.com/office/drawing/2014/main" id="{00000000-0008-0000-0200-000009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8916658" y="20421599"/>
          <a:ext cx="3495666" cy="180736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26</xdr:col>
      <xdr:colOff>442108</xdr:colOff>
      <xdr:row>119</xdr:row>
      <xdr:rowOff>152399</xdr:rowOff>
    </xdr:from>
    <xdr:to>
      <xdr:col>32</xdr:col>
      <xdr:colOff>407530</xdr:colOff>
      <xdr:row>229</xdr:row>
      <xdr:rowOff>1359</xdr:rowOff>
    </xdr:to>
    <xdr:pic>
      <xdr:nvPicPr>
        <xdr:cNvPr id="10" name="图片 9" descr="Image">
          <a:extLst>
            <a:ext uri="{FF2B5EF4-FFF2-40B4-BE49-F238E27FC236}">
              <a16:creationId xmlns:a16="http://schemas.microsoft.com/office/drawing/2014/main" id="{00000000-0008-0000-0200-00000A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2530583" y="20497799"/>
          <a:ext cx="3848904" cy="17668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32</xdr:col>
      <xdr:colOff>560841</xdr:colOff>
      <xdr:row>120</xdr:row>
      <xdr:rowOff>71438</xdr:rowOff>
    </xdr:from>
    <xdr:to>
      <xdr:col>38</xdr:col>
      <xdr:colOff>289828</xdr:colOff>
      <xdr:row>241</xdr:row>
      <xdr:rowOff>99331</xdr:rowOff>
    </xdr:to>
    <xdr:pic>
      <xdr:nvPicPr>
        <xdr:cNvPr id="11" name="图片 10" descr="Image">
          <a:extLst>
            <a:ext uri="{FF2B5EF4-FFF2-40B4-BE49-F238E27FC236}">
              <a16:creationId xmlns:a16="http://schemas.microsoft.com/office/drawing/2014/main" id="{00000000-0008-0000-0200-00000B0000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26535516" y="20578763"/>
          <a:ext cx="3620633" cy="19964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404812</xdr:colOff>
      <xdr:row>77</xdr:row>
      <xdr:rowOff>52389</xdr:rowOff>
    </xdr:from>
    <xdr:to>
      <xdr:col>2</xdr:col>
      <xdr:colOff>446</xdr:colOff>
      <xdr:row>122</xdr:row>
      <xdr:rowOff>76201</xdr:rowOff>
    </xdr:to>
    <xdr:pic>
      <xdr:nvPicPr>
        <xdr:cNvPr id="12" name="图片 11" descr="https://pics6.baidu.com/feed/bba1cd11728b47108b9a521fe72914fafe03239e.png?token=a42e5e63095506af0f532a10b1de0dce&amp;s=9536ED33B98148DA567D68DF02008030">
          <a:extLst>
            <a:ext uri="{FF2B5EF4-FFF2-40B4-BE49-F238E27FC236}">
              <a16:creationId xmlns:a16="http://schemas.microsoft.com/office/drawing/2014/main" id="{00000000-0008-0000-0200-00000C000000}"/>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404812" y="13596939"/>
          <a:ext cx="2789911" cy="731043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200025</xdr:colOff>
      <xdr:row>3</xdr:row>
      <xdr:rowOff>292107</xdr:rowOff>
    </xdr:from>
    <xdr:to>
      <xdr:col>17</xdr:col>
      <xdr:colOff>555935</xdr:colOff>
      <xdr:row>12</xdr:row>
      <xdr:rowOff>25873</xdr:rowOff>
    </xdr:to>
    <xdr:pic>
      <xdr:nvPicPr>
        <xdr:cNvPr id="13" name="图片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2"/>
        <a:stretch>
          <a:fillRect/>
        </a:stretch>
      </xdr:blipFill>
      <xdr:spPr>
        <a:xfrm>
          <a:off x="12463463" y="1130307"/>
          <a:ext cx="4872120" cy="1346216"/>
        </a:xfrm>
        <a:prstGeom prst="rect">
          <a:avLst/>
        </a:prstGeom>
      </xdr:spPr>
    </xdr:pic>
    <xdr:clientData/>
  </xdr:twoCellAnchor>
  <xdr:twoCellAnchor editAs="oneCell">
    <xdr:from>
      <xdr:col>4</xdr:col>
      <xdr:colOff>1557338</xdr:colOff>
      <xdr:row>230</xdr:row>
      <xdr:rowOff>342899</xdr:rowOff>
    </xdr:from>
    <xdr:to>
      <xdr:col>10</xdr:col>
      <xdr:colOff>1</xdr:colOff>
      <xdr:row>279</xdr:row>
      <xdr:rowOff>138109</xdr:rowOff>
    </xdr:to>
    <xdr:pic>
      <xdr:nvPicPr>
        <xdr:cNvPr id="14" name="图片 13" descr="2019年券商营业部榜单地图（最全汇总版）">
          <a:extLst>
            <a:ext uri="{FF2B5EF4-FFF2-40B4-BE49-F238E27FC236}">
              <a16:creationId xmlns:a16="http://schemas.microsoft.com/office/drawing/2014/main" id="{00000000-0008-0000-0200-00000E00000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7691438" y="38695312"/>
          <a:ext cx="6096001" cy="8362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166"/>
  <sheetViews>
    <sheetView topLeftCell="A118" workbookViewId="0">
      <selection activeCell="B214" sqref="B214"/>
    </sheetView>
  </sheetViews>
  <sheetFormatPr defaultRowHeight="12.5"/>
  <cols>
    <col min="1" max="1" width="21.1796875" customWidth="1"/>
    <col min="2" max="2" width="82.1796875" style="83" customWidth="1"/>
    <col min="3" max="3" width="18.1796875" style="83" customWidth="1"/>
    <col min="4" max="4" width="31" customWidth="1"/>
    <col min="5" max="5" width="16.453125" customWidth="1"/>
    <col min="6" max="6" width="23.1796875" customWidth="1"/>
  </cols>
  <sheetData>
    <row r="1" spans="1:3" ht="13">
      <c r="B1" s="82" t="s">
        <v>125</v>
      </c>
      <c r="C1" s="82" t="s">
        <v>141</v>
      </c>
    </row>
    <row r="2" spans="1:3" ht="13">
      <c r="A2" s="82" t="s">
        <v>114</v>
      </c>
      <c r="B2" s="82" t="s">
        <v>128</v>
      </c>
      <c r="C2" s="82" t="s">
        <v>144</v>
      </c>
    </row>
    <row r="3" spans="1:3" ht="13">
      <c r="A3" s="82" t="s">
        <v>123</v>
      </c>
      <c r="B3" s="82" t="s">
        <v>137</v>
      </c>
      <c r="C3" s="82" t="s">
        <v>147</v>
      </c>
    </row>
    <row r="4" spans="1:3" ht="13">
      <c r="A4" s="82" t="s">
        <v>117</v>
      </c>
      <c r="B4" s="82" t="s">
        <v>133</v>
      </c>
      <c r="C4" s="82" t="s">
        <v>146</v>
      </c>
    </row>
    <row r="5" spans="1:3" ht="13">
      <c r="A5" s="82" t="s">
        <v>138</v>
      </c>
      <c r="B5" s="82" t="s">
        <v>139</v>
      </c>
      <c r="C5" s="82" t="s">
        <v>148</v>
      </c>
    </row>
    <row r="6" spans="1:3" ht="13">
      <c r="A6" s="82" t="s">
        <v>121</v>
      </c>
      <c r="B6" s="82" t="s">
        <v>140</v>
      </c>
      <c r="C6" s="82" t="s">
        <v>149</v>
      </c>
    </row>
    <row r="7" spans="1:3" ht="13">
      <c r="A7" s="82" t="s">
        <v>143</v>
      </c>
      <c r="B7" s="82" t="s">
        <v>126</v>
      </c>
      <c r="C7" s="82" t="s">
        <v>142</v>
      </c>
    </row>
    <row r="8" spans="1:3" ht="13">
      <c r="A8" s="82" t="s">
        <v>115</v>
      </c>
      <c r="B8" s="82" t="s">
        <v>127</v>
      </c>
      <c r="C8" s="82" t="s">
        <v>142</v>
      </c>
    </row>
    <row r="9" spans="1:3" ht="13">
      <c r="A9" s="82" t="s">
        <v>116</v>
      </c>
      <c r="B9" s="82" t="s">
        <v>131</v>
      </c>
      <c r="C9" s="82" t="s">
        <v>142</v>
      </c>
    </row>
    <row r="10" spans="1:3" ht="13">
      <c r="A10" s="82" t="s">
        <v>120</v>
      </c>
      <c r="B10" s="82" t="s">
        <v>132</v>
      </c>
      <c r="C10" s="82" t="s">
        <v>142</v>
      </c>
    </row>
    <row r="11" spans="1:3" ht="13">
      <c r="A11" s="82" t="s">
        <v>129</v>
      </c>
      <c r="B11" s="82" t="s">
        <v>130</v>
      </c>
      <c r="C11" s="82" t="s">
        <v>145</v>
      </c>
    </row>
    <row r="12" spans="1:3" ht="13">
      <c r="A12" s="82" t="s">
        <v>122</v>
      </c>
      <c r="B12" s="82" t="s">
        <v>134</v>
      </c>
      <c r="C12" s="82" t="s">
        <v>124</v>
      </c>
    </row>
    <row r="13" spans="1:3" ht="13">
      <c r="A13" s="82" t="s">
        <v>118</v>
      </c>
      <c r="B13" s="82" t="s">
        <v>135</v>
      </c>
      <c r="C13" s="82" t="s">
        <v>124</v>
      </c>
    </row>
    <row r="14" spans="1:3" ht="13">
      <c r="A14" s="82" t="s">
        <v>119</v>
      </c>
      <c r="B14" s="82" t="s">
        <v>136</v>
      </c>
      <c r="C14" s="82" t="s">
        <v>124</v>
      </c>
    </row>
    <row r="23" spans="1:3" ht="13">
      <c r="A23" s="7" t="s">
        <v>171</v>
      </c>
      <c r="B23" s="7" t="s">
        <v>172</v>
      </c>
      <c r="C23" s="7" t="s">
        <v>173</v>
      </c>
    </row>
    <row r="24" spans="1:3" ht="13">
      <c r="A24" s="7" t="s">
        <v>174</v>
      </c>
      <c r="B24" s="7" t="s">
        <v>175</v>
      </c>
      <c r="C24" s="7" t="s">
        <v>176</v>
      </c>
    </row>
    <row r="25" spans="1:3" ht="13">
      <c r="A25" s="7" t="s">
        <v>177</v>
      </c>
      <c r="B25" s="7" t="s">
        <v>178</v>
      </c>
      <c r="C25" s="7" t="s">
        <v>179</v>
      </c>
    </row>
    <row r="26" spans="1:3" ht="13">
      <c r="A26" s="7" t="s">
        <v>180</v>
      </c>
      <c r="B26" s="7" t="s">
        <v>181</v>
      </c>
      <c r="C26" s="7" t="s">
        <v>176</v>
      </c>
    </row>
    <row r="27" spans="1:3" ht="23.25" customHeight="1">
      <c r="A27" s="331" t="s">
        <v>194</v>
      </c>
      <c r="B27" s="7" t="s">
        <v>185</v>
      </c>
      <c r="C27" s="330" t="s">
        <v>188</v>
      </c>
    </row>
    <row r="28" spans="1:3" ht="13">
      <c r="A28" s="332"/>
      <c r="B28" s="7" t="s">
        <v>182</v>
      </c>
      <c r="C28" s="330"/>
    </row>
    <row r="29" spans="1:3" ht="13">
      <c r="A29" s="332"/>
      <c r="B29" s="7" t="s">
        <v>184</v>
      </c>
      <c r="C29" s="330"/>
    </row>
    <row r="30" spans="1:3" ht="13">
      <c r="A30" s="332"/>
      <c r="B30" s="7" t="s">
        <v>183</v>
      </c>
      <c r="C30" s="330"/>
    </row>
    <row r="31" spans="1:3" ht="13">
      <c r="A31" s="332"/>
      <c r="B31" s="7" t="s">
        <v>186</v>
      </c>
      <c r="C31" s="330"/>
    </row>
    <row r="32" spans="1:3" ht="30" customHeight="1">
      <c r="A32" s="332"/>
      <c r="B32" s="6" t="s">
        <v>187</v>
      </c>
      <c r="C32" s="330"/>
    </row>
    <row r="33" spans="1:12" ht="13">
      <c r="A33" s="82" t="s">
        <v>189</v>
      </c>
      <c r="B33" s="85" t="s">
        <v>190</v>
      </c>
    </row>
    <row r="34" spans="1:12" ht="26">
      <c r="A34" s="82" t="s">
        <v>191</v>
      </c>
      <c r="B34" s="87" t="s">
        <v>192</v>
      </c>
    </row>
    <row r="36" spans="1:12" ht="26">
      <c r="A36" s="334" t="s">
        <v>197</v>
      </c>
      <c r="B36" s="34" t="s">
        <v>193</v>
      </c>
      <c r="C36" s="89">
        <v>0.05</v>
      </c>
      <c r="D36" s="86" t="s">
        <v>199</v>
      </c>
    </row>
    <row r="37" spans="1:12" ht="13">
      <c r="A37" s="335"/>
      <c r="B37" s="7" t="s">
        <v>170</v>
      </c>
      <c r="C37" s="89">
        <f>1575.34/4484.79</f>
        <v>0.35126282390033869</v>
      </c>
    </row>
    <row r="38" spans="1:12" ht="13">
      <c r="A38" s="335"/>
      <c r="B38" s="331" t="s">
        <v>195</v>
      </c>
      <c r="C38" s="90">
        <v>9.4799999999999995E-2</v>
      </c>
      <c r="D38" s="82" t="s">
        <v>196</v>
      </c>
      <c r="F38" s="333" t="s">
        <v>198</v>
      </c>
      <c r="G38" s="333"/>
      <c r="H38" s="333"/>
      <c r="I38" s="333"/>
      <c r="J38" s="333"/>
      <c r="K38" s="333"/>
      <c r="L38" s="333"/>
    </row>
    <row r="39" spans="1:12" ht="13">
      <c r="A39" s="336"/>
      <c r="B39" s="331"/>
      <c r="C39" s="90">
        <v>7.7000000000000002E-3</v>
      </c>
      <c r="D39" s="82" t="s">
        <v>200</v>
      </c>
      <c r="F39" s="333"/>
      <c r="G39" s="333"/>
      <c r="H39" s="333"/>
      <c r="I39" s="333"/>
      <c r="J39" s="333"/>
      <c r="K39" s="333"/>
      <c r="L39" s="333"/>
    </row>
    <row r="40" spans="1:12">
      <c r="F40" s="333"/>
      <c r="G40" s="333"/>
      <c r="H40" s="333"/>
      <c r="I40" s="333"/>
      <c r="J40" s="333"/>
      <c r="K40" s="333"/>
      <c r="L40" s="333"/>
    </row>
    <row r="41" spans="1:12">
      <c r="F41" s="333"/>
      <c r="G41" s="333"/>
      <c r="H41" s="333"/>
      <c r="I41" s="333"/>
      <c r="J41" s="333"/>
      <c r="K41" s="333"/>
      <c r="L41" s="333"/>
    </row>
    <row r="48" spans="1:12">
      <c r="B48"/>
    </row>
    <row r="73" spans="1:6" ht="13">
      <c r="A73" s="91"/>
      <c r="B73" s="91" t="s">
        <v>201</v>
      </c>
      <c r="C73" s="91" t="s">
        <v>202</v>
      </c>
      <c r="D73" s="91" t="s">
        <v>203</v>
      </c>
      <c r="E73" s="91" t="s">
        <v>204</v>
      </c>
      <c r="F73" s="91" t="s">
        <v>215</v>
      </c>
    </row>
    <row r="74" spans="1:6" ht="13">
      <c r="A74" s="92" t="s">
        <v>205</v>
      </c>
      <c r="B74" s="85">
        <v>8910</v>
      </c>
      <c r="C74" s="85">
        <v>4508</v>
      </c>
      <c r="D74" s="85">
        <v>7989</v>
      </c>
      <c r="E74" s="85">
        <v>10724</v>
      </c>
      <c r="F74" s="85">
        <v>58</v>
      </c>
    </row>
    <row r="75" spans="1:6" ht="13">
      <c r="A75" s="92" t="s">
        <v>206</v>
      </c>
      <c r="B75" s="83">
        <v>9412</v>
      </c>
      <c r="C75" s="85">
        <v>44400</v>
      </c>
      <c r="D75" s="85">
        <v>23400</v>
      </c>
      <c r="E75" s="85">
        <v>17500</v>
      </c>
      <c r="F75" s="85">
        <v>7183.5</v>
      </c>
    </row>
    <row r="76" spans="1:6" ht="13">
      <c r="A76" s="92" t="s">
        <v>207</v>
      </c>
      <c r="B76" s="93">
        <f>B75/B74</f>
        <v>1.056341189674523</v>
      </c>
      <c r="C76" s="93">
        <f t="shared" ref="C76:F76" si="0">C75/C74</f>
        <v>9.8491570541259978</v>
      </c>
      <c r="D76" s="93">
        <f t="shared" si="0"/>
        <v>2.9290274126924523</v>
      </c>
      <c r="E76" s="93">
        <f t="shared" si="0"/>
        <v>1.6318537859007833</v>
      </c>
      <c r="F76" s="93">
        <f t="shared" si="0"/>
        <v>123.85344827586206</v>
      </c>
    </row>
    <row r="77" spans="1:6" ht="130">
      <c r="A77" s="82" t="s">
        <v>214</v>
      </c>
      <c r="B77" s="85" t="s">
        <v>208</v>
      </c>
      <c r="C77" s="86" t="s">
        <v>209</v>
      </c>
      <c r="D77" s="85" t="s">
        <v>210</v>
      </c>
      <c r="E77" s="86" t="s">
        <v>211</v>
      </c>
      <c r="F77" s="86" t="s">
        <v>216</v>
      </c>
    </row>
    <row r="78" spans="1:6" ht="65">
      <c r="F78" s="86" t="s">
        <v>217</v>
      </c>
    </row>
    <row r="79" spans="1:6" ht="117">
      <c r="F79" s="86" t="s">
        <v>218</v>
      </c>
    </row>
    <row r="88" spans="2:2">
      <c r="B88"/>
    </row>
    <row r="130" spans="2:2" ht="13">
      <c r="B130" s="82" t="s">
        <v>212</v>
      </c>
    </row>
    <row r="131" spans="2:2" ht="26">
      <c r="B131" s="86" t="s">
        <v>213</v>
      </c>
    </row>
    <row r="135" spans="2:2">
      <c r="B135"/>
    </row>
    <row r="166" spans="2:2" ht="26">
      <c r="B166" s="86" t="s">
        <v>219</v>
      </c>
    </row>
  </sheetData>
  <sortState xmlns:xlrd2="http://schemas.microsoft.com/office/spreadsheetml/2017/richdata2" ref="A1:C14">
    <sortCondition ref="C1:C14"/>
  </sortState>
  <mergeCells count="5">
    <mergeCell ref="C27:C32"/>
    <mergeCell ref="A27:A32"/>
    <mergeCell ref="F38:L41"/>
    <mergeCell ref="B38:B39"/>
    <mergeCell ref="A36:A39"/>
  </mergeCells>
  <phoneticPr fontId="7" type="noConversion"/>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144429-CDB4-4775-B47D-FA0454B29305}">
  <dimension ref="A1:M35"/>
  <sheetViews>
    <sheetView zoomScale="96" zoomScaleNormal="96" workbookViewId="0">
      <selection activeCell="C11" sqref="C11"/>
    </sheetView>
  </sheetViews>
  <sheetFormatPr defaultColWidth="9.1796875" defaultRowHeight="14"/>
  <cols>
    <col min="1" max="1" width="9.1796875" style="184"/>
    <col min="2" max="2" width="33.1796875" style="184" customWidth="1"/>
    <col min="3" max="3" width="21.1796875" style="184" customWidth="1"/>
    <col min="4" max="4" width="12.453125" style="184" customWidth="1"/>
    <col min="5" max="8" width="9.1796875" style="184"/>
    <col min="9" max="9" width="16.1796875" style="184" customWidth="1"/>
    <col min="10" max="10" width="33.81640625" style="184" customWidth="1"/>
    <col min="11" max="11" width="17.81640625" style="184" customWidth="1"/>
    <col min="12" max="12" width="15.1796875" style="184" customWidth="1"/>
    <col min="13" max="16384" width="9.1796875" style="184"/>
  </cols>
  <sheetData>
    <row r="1" spans="1:13">
      <c r="A1" s="272" t="s">
        <v>702</v>
      </c>
      <c r="B1" s="272" t="s">
        <v>703</v>
      </c>
      <c r="C1" s="272" t="s">
        <v>704</v>
      </c>
      <c r="D1" s="271"/>
      <c r="H1" s="275"/>
      <c r="I1" s="275"/>
    </row>
    <row r="2" spans="1:13">
      <c r="A2" s="351" t="s">
        <v>705</v>
      </c>
      <c r="B2" s="351"/>
      <c r="C2" s="273" t="e">
        <f>SUM(C4:C7)</f>
        <v>#VALUE!</v>
      </c>
      <c r="H2" s="275"/>
      <c r="I2" s="275"/>
    </row>
    <row r="3" spans="1:13">
      <c r="A3" s="273" t="s">
        <v>706</v>
      </c>
      <c r="B3" s="307" t="s">
        <v>707</v>
      </c>
      <c r="C3" s="273" t="e">
        <f>SUM(C4:C7)</f>
        <v>#VALUE!</v>
      </c>
    </row>
    <row r="4" spans="1:13">
      <c r="A4" s="273">
        <v>1</v>
      </c>
      <c r="B4" s="284" t="s">
        <v>709</v>
      </c>
      <c r="C4" s="291" t="e">
        <f>输入值【1】!C16*10000</f>
        <v>#VALUE!</v>
      </c>
      <c r="D4" s="275"/>
    </row>
    <row r="5" spans="1:13">
      <c r="A5" s="273">
        <v>2</v>
      </c>
      <c r="B5" s="284" t="s">
        <v>710</v>
      </c>
      <c r="C5" s="273">
        <v>0</v>
      </c>
    </row>
    <row r="6" spans="1:13">
      <c r="A6" s="273">
        <v>3</v>
      </c>
      <c r="B6" s="284" t="s">
        <v>711</v>
      </c>
      <c r="C6" s="273">
        <v>0</v>
      </c>
      <c r="I6" s="184" t="s">
        <v>786</v>
      </c>
    </row>
    <row r="7" spans="1:13">
      <c r="A7" s="273">
        <v>4</v>
      </c>
      <c r="B7" s="284" t="s">
        <v>712</v>
      </c>
      <c r="C7" s="273">
        <v>0</v>
      </c>
      <c r="I7" s="275">
        <v>139436</v>
      </c>
      <c r="J7" s="290">
        <f>I7/12</f>
        <v>11619.666666666666</v>
      </c>
      <c r="K7" s="275">
        <f>I7*3</f>
        <v>418308</v>
      </c>
    </row>
    <row r="8" spans="1:13">
      <c r="A8" s="273" t="s">
        <v>708</v>
      </c>
      <c r="B8" s="285" t="s">
        <v>713</v>
      </c>
      <c r="C8" s="273">
        <v>60000</v>
      </c>
    </row>
    <row r="9" spans="1:13">
      <c r="A9" s="273" t="s">
        <v>714</v>
      </c>
      <c r="B9" s="285" t="s">
        <v>715</v>
      </c>
      <c r="C9" s="288" t="e">
        <f>SUM(C10:C13)</f>
        <v>#VALUE!</v>
      </c>
    </row>
    <row r="10" spans="1:13">
      <c r="A10" s="273">
        <v>1</v>
      </c>
      <c r="B10" s="284" t="s">
        <v>716</v>
      </c>
      <c r="C10" s="289" t="e">
        <f>IF(C4&gt;输入值【1】!C13*3,输入值【1】!C13*3,C4)*8%</f>
        <v>#VALUE!</v>
      </c>
    </row>
    <row r="11" spans="1:13">
      <c r="A11" s="273">
        <v>2</v>
      </c>
      <c r="B11" s="284" t="s">
        <v>717</v>
      </c>
      <c r="C11" s="289" t="e">
        <f>IF(C4&gt;输入值【1】!C13*3,输入值【1】!C13*3,C4)*2%</f>
        <v>#VALUE!</v>
      </c>
      <c r="I11" s="280" t="s">
        <v>765</v>
      </c>
      <c r="J11" s="350" t="s">
        <v>766</v>
      </c>
      <c r="K11" s="350"/>
      <c r="L11" s="350" t="s">
        <v>767</v>
      </c>
      <c r="M11" s="350"/>
    </row>
    <row r="12" spans="1:13">
      <c r="A12" s="273">
        <v>3</v>
      </c>
      <c r="B12" s="284" t="s">
        <v>718</v>
      </c>
      <c r="C12" s="289" t="e">
        <f>IF(C4&gt;输入值【1】!C13*3,输入值【1】!C13*3,C4)*0.3%</f>
        <v>#VALUE!</v>
      </c>
      <c r="I12" s="278" t="s">
        <v>768</v>
      </c>
      <c r="J12" s="278" t="s">
        <v>769</v>
      </c>
      <c r="K12" s="279">
        <v>0.08</v>
      </c>
      <c r="L12" s="278" t="s">
        <v>769</v>
      </c>
      <c r="M12" s="279">
        <v>0.13</v>
      </c>
    </row>
    <row r="13" spans="1:13">
      <c r="A13" s="273">
        <v>4</v>
      </c>
      <c r="B13" s="284" t="s">
        <v>719</v>
      </c>
      <c r="C13" s="289" t="e">
        <f>IF(C4&gt;输入值【1】!C13*3,输入值【1】!C13*3,C4)*12%</f>
        <v>#VALUE!</v>
      </c>
      <c r="I13" s="280" t="s">
        <v>770</v>
      </c>
      <c r="J13" s="280" t="s">
        <v>769</v>
      </c>
      <c r="K13" s="281">
        <v>0.02</v>
      </c>
      <c r="L13" s="280" t="s">
        <v>769</v>
      </c>
      <c r="M13" s="282">
        <v>6.2E-2</v>
      </c>
    </row>
    <row r="14" spans="1:13">
      <c r="A14" s="273" t="s">
        <v>720</v>
      </c>
      <c r="B14" s="285" t="s">
        <v>721</v>
      </c>
      <c r="C14" s="273">
        <f>SUM(C15:C20)</f>
        <v>54000</v>
      </c>
      <c r="I14" s="278" t="s">
        <v>771</v>
      </c>
      <c r="J14" s="278" t="s">
        <v>769</v>
      </c>
      <c r="K14" s="283">
        <v>3.0000000000000001E-3</v>
      </c>
      <c r="L14" s="278" t="s">
        <v>769</v>
      </c>
      <c r="M14" s="279">
        <v>7.0000000000000001E-3</v>
      </c>
    </row>
    <row r="15" spans="1:13">
      <c r="A15" s="273">
        <v>1</v>
      </c>
      <c r="B15" s="284" t="s">
        <v>722</v>
      </c>
      <c r="C15" s="273">
        <f>1000*1*12</f>
        <v>12000</v>
      </c>
      <c r="I15" s="280" t="s">
        <v>772</v>
      </c>
      <c r="J15" s="280" t="s">
        <v>769</v>
      </c>
      <c r="K15" s="280" t="s">
        <v>769</v>
      </c>
      <c r="L15" s="280" t="s">
        <v>769</v>
      </c>
      <c r="M15" s="282">
        <v>4.8999999999999998E-3</v>
      </c>
    </row>
    <row r="16" spans="1:13">
      <c r="A16" s="273">
        <v>2</v>
      </c>
      <c r="B16" s="284" t="s">
        <v>723</v>
      </c>
      <c r="C16" s="273">
        <v>0</v>
      </c>
      <c r="I16" s="278" t="s">
        <v>773</v>
      </c>
      <c r="J16" s="278" t="s">
        <v>769</v>
      </c>
      <c r="K16" s="278" t="s">
        <v>769</v>
      </c>
      <c r="L16" s="278" t="s">
        <v>769</v>
      </c>
      <c r="M16" s="283">
        <v>5.0000000000000001E-3</v>
      </c>
    </row>
    <row r="17" spans="1:13">
      <c r="A17" s="273">
        <v>3</v>
      </c>
      <c r="B17" s="284" t="s">
        <v>725</v>
      </c>
      <c r="C17" s="273">
        <v>0</v>
      </c>
      <c r="I17" s="280" t="s">
        <v>719</v>
      </c>
      <c r="J17" s="280" t="s">
        <v>769</v>
      </c>
      <c r="K17" s="281">
        <v>0.12</v>
      </c>
      <c r="L17" s="280" t="s">
        <v>769</v>
      </c>
      <c r="M17" s="281">
        <v>0.12</v>
      </c>
    </row>
    <row r="18" spans="1:13">
      <c r="A18" s="273">
        <v>4</v>
      </c>
      <c r="B18" s="284" t="s">
        <v>728</v>
      </c>
      <c r="C18" s="273">
        <v>0</v>
      </c>
      <c r="I18" s="278" t="s">
        <v>774</v>
      </c>
      <c r="J18" s="278" t="s">
        <v>769</v>
      </c>
      <c r="K18" s="278" t="s">
        <v>769</v>
      </c>
      <c r="L18" s="278" t="s">
        <v>769</v>
      </c>
      <c r="M18" s="278" t="s">
        <v>769</v>
      </c>
    </row>
    <row r="19" spans="1:13">
      <c r="A19" s="273">
        <v>5</v>
      </c>
      <c r="B19" s="284" t="s">
        <v>731</v>
      </c>
      <c r="C19" s="273">
        <f>1500*12</f>
        <v>18000</v>
      </c>
    </row>
    <row r="20" spans="1:13">
      <c r="A20" s="273">
        <v>6</v>
      </c>
      <c r="B20" s="284" t="s">
        <v>733</v>
      </c>
      <c r="C20" s="273">
        <f>2000*12</f>
        <v>24000</v>
      </c>
    </row>
    <row r="21" spans="1:13">
      <c r="A21" s="273" t="s">
        <v>726</v>
      </c>
      <c r="B21" s="285" t="s">
        <v>735</v>
      </c>
      <c r="C21" s="273">
        <v>0</v>
      </c>
      <c r="I21" s="280" t="s">
        <v>775</v>
      </c>
      <c r="J21" s="280" t="s">
        <v>776</v>
      </c>
      <c r="K21" s="280" t="s">
        <v>777</v>
      </c>
      <c r="L21" s="280" t="s">
        <v>778</v>
      </c>
    </row>
    <row r="22" spans="1:13">
      <c r="A22" s="273" t="s">
        <v>729</v>
      </c>
      <c r="B22" s="285" t="s">
        <v>724</v>
      </c>
      <c r="C22" s="288" t="e">
        <f>C4+C5*80%+C6*80%*70%+C7*80%-C8-C9-C14-C21</f>
        <v>#VALUE!</v>
      </c>
      <c r="I22" s="280">
        <v>1</v>
      </c>
      <c r="J22" s="280" t="s">
        <v>779</v>
      </c>
      <c r="K22" s="311">
        <v>3</v>
      </c>
      <c r="L22" s="280">
        <v>0</v>
      </c>
    </row>
    <row r="23" spans="1:13">
      <c r="A23" s="273" t="s">
        <v>732</v>
      </c>
      <c r="B23" s="285" t="s">
        <v>727</v>
      </c>
      <c r="C23" s="286" t="e">
        <f>IF(C22&lt;=36000,3%,IF(AND(C22&gt;36000,C22&lt;=144000),10%,IF(AND(144000&lt;C22,C22&lt;=300000),20%,IF(AND(300000&lt;C22,C22&lt;=420000),25%,IF(AND(420000&lt;C22,C22&lt;=660000),30%,IF(AND(C22&gt;660000,C22&lt;=960000),35%,45%))))))</f>
        <v>#VALUE!</v>
      </c>
      <c r="I23" s="280">
        <v>2</v>
      </c>
      <c r="J23" s="280" t="s">
        <v>780</v>
      </c>
      <c r="K23" s="311">
        <v>10</v>
      </c>
      <c r="L23" s="280">
        <v>2520</v>
      </c>
    </row>
    <row r="24" spans="1:13">
      <c r="A24" s="273" t="s">
        <v>734</v>
      </c>
      <c r="B24" s="285" t="s">
        <v>730</v>
      </c>
      <c r="C24" s="273" t="e">
        <f>IF(C22&lt;=36000,0,IF(AND(C22&gt;36000,C22&lt;=144000),2520,IF(AND(144000&lt;C22,C22&lt;=300000),16920,IF(AND(300000&lt;C22,C22&lt;=420000),31920,IF(AND(420000&lt;C22,C22&lt;=660000),52920,IF(AND(C22&gt;660000,C22&lt;=960000),85920,181920))))))</f>
        <v>#VALUE!</v>
      </c>
      <c r="I24" s="280">
        <v>3</v>
      </c>
      <c r="J24" s="280" t="s">
        <v>781</v>
      </c>
      <c r="K24" s="311">
        <v>20</v>
      </c>
      <c r="L24" s="280">
        <v>16920</v>
      </c>
    </row>
    <row r="25" spans="1:13">
      <c r="A25" s="273" t="s">
        <v>736</v>
      </c>
      <c r="B25" s="285" t="s">
        <v>739</v>
      </c>
      <c r="C25" s="288" t="e">
        <f t="shared" ref="C25" si="0">C22*C23-C24</f>
        <v>#VALUE!</v>
      </c>
      <c r="I25" s="280">
        <v>4</v>
      </c>
      <c r="J25" s="280" t="s">
        <v>782</v>
      </c>
      <c r="K25" s="311">
        <v>25</v>
      </c>
      <c r="L25" s="280">
        <v>31920</v>
      </c>
    </row>
    <row r="26" spans="1:13">
      <c r="A26" s="273" t="s">
        <v>737</v>
      </c>
      <c r="B26" s="285" t="s">
        <v>740</v>
      </c>
      <c r="C26" s="273">
        <f>SUM(C27:C31)</f>
        <v>0</v>
      </c>
      <c r="I26" s="280">
        <v>5</v>
      </c>
      <c r="J26" s="280" t="s">
        <v>783</v>
      </c>
      <c r="K26" s="311">
        <v>30</v>
      </c>
      <c r="L26" s="280">
        <v>52920</v>
      </c>
    </row>
    <row r="27" spans="1:13">
      <c r="A27" s="273">
        <v>1</v>
      </c>
      <c r="B27" s="284" t="s">
        <v>741</v>
      </c>
      <c r="C27" s="273">
        <v>0</v>
      </c>
      <c r="I27" s="280">
        <v>6</v>
      </c>
      <c r="J27" s="280" t="s">
        <v>784</v>
      </c>
      <c r="K27" s="311">
        <v>35</v>
      </c>
      <c r="L27" s="280">
        <v>85920</v>
      </c>
    </row>
    <row r="28" spans="1:13">
      <c r="A28" s="273">
        <v>2</v>
      </c>
      <c r="B28" s="284" t="s">
        <v>742</v>
      </c>
      <c r="C28" s="273">
        <v>0</v>
      </c>
      <c r="I28" s="280">
        <v>7</v>
      </c>
      <c r="J28" s="280" t="s">
        <v>785</v>
      </c>
      <c r="K28" s="311">
        <v>45</v>
      </c>
      <c r="L28" s="280">
        <v>181920</v>
      </c>
    </row>
    <row r="29" spans="1:13">
      <c r="A29" s="273">
        <v>3</v>
      </c>
      <c r="B29" s="284" t="s">
        <v>743</v>
      </c>
      <c r="C29" s="273">
        <v>0</v>
      </c>
    </row>
    <row r="30" spans="1:13">
      <c r="A30" s="273">
        <v>4</v>
      </c>
      <c r="B30" s="284" t="s">
        <v>744</v>
      </c>
      <c r="C30" s="273">
        <v>0</v>
      </c>
    </row>
    <row r="31" spans="1:13">
      <c r="A31" s="273">
        <v>5</v>
      </c>
      <c r="B31" s="284" t="s">
        <v>745</v>
      </c>
      <c r="C31" s="273">
        <v>0</v>
      </c>
    </row>
    <row r="32" spans="1:13">
      <c r="A32" s="273" t="s">
        <v>746</v>
      </c>
      <c r="B32" s="285" t="s">
        <v>747</v>
      </c>
      <c r="C32" s="273">
        <f>C28*20%+IF(AND(C29&lt;4000,C29&gt;0),(C29-800)*20%,C29*(1-20%)*20%)+C30*(1-70%)*20%</f>
        <v>0</v>
      </c>
    </row>
    <row r="33" spans="1:4">
      <c r="A33" s="273" t="s">
        <v>748</v>
      </c>
      <c r="B33" s="285" t="s">
        <v>749</v>
      </c>
      <c r="C33" s="289" t="e">
        <f>C25+C32</f>
        <v>#VALUE!</v>
      </c>
    </row>
    <row r="34" spans="1:4">
      <c r="A34" s="273" t="s">
        <v>750</v>
      </c>
      <c r="B34" s="274" t="s">
        <v>738</v>
      </c>
      <c r="C34" s="287" t="e">
        <f>C33/C2</f>
        <v>#VALUE!</v>
      </c>
    </row>
    <row r="35" spans="1:4">
      <c r="C35" s="271"/>
      <c r="D35" s="275"/>
    </row>
  </sheetData>
  <mergeCells count="3">
    <mergeCell ref="A2:B2"/>
    <mergeCell ref="J11:K11"/>
    <mergeCell ref="L11:M11"/>
  </mergeCells>
  <phoneticPr fontId="7"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844B4A1-0E8C-4D42-BE34-53EDCF0B28BB}">
  <dimension ref="A1:M73"/>
  <sheetViews>
    <sheetView zoomScale="96" zoomScaleNormal="96" workbookViewId="0">
      <selection activeCell="F21" sqref="F21"/>
    </sheetView>
  </sheetViews>
  <sheetFormatPr defaultColWidth="9.1796875" defaultRowHeight="14"/>
  <cols>
    <col min="1" max="1" width="9.1796875" style="184"/>
    <col min="2" max="2" width="33.1796875" style="184" customWidth="1"/>
    <col min="3" max="3" width="21.1796875" style="184" customWidth="1"/>
    <col min="4" max="4" width="12.453125" style="184" customWidth="1"/>
    <col min="5" max="8" width="9.1796875" style="184"/>
    <col min="9" max="9" width="16.1796875" style="184" customWidth="1"/>
    <col min="10" max="10" width="33.81640625" style="184" customWidth="1"/>
    <col min="11" max="11" width="17.81640625" style="184" customWidth="1"/>
    <col min="12" max="12" width="15.1796875" style="184" customWidth="1"/>
    <col min="13" max="16384" width="9.1796875" style="184"/>
  </cols>
  <sheetData>
    <row r="1" spans="1:13">
      <c r="A1" s="272" t="s">
        <v>702</v>
      </c>
      <c r="B1" s="272" t="s">
        <v>703</v>
      </c>
      <c r="C1" s="272" t="s">
        <v>704</v>
      </c>
      <c r="D1" s="271"/>
      <c r="H1" s="275"/>
      <c r="I1" s="275"/>
    </row>
    <row r="2" spans="1:13">
      <c r="A2" s="351" t="s">
        <v>705</v>
      </c>
      <c r="B2" s="351"/>
      <c r="C2" s="273">
        <f>SUM(C4:C7)</f>
        <v>100000</v>
      </c>
      <c r="H2" s="275"/>
      <c r="I2" s="275"/>
    </row>
    <row r="3" spans="1:13">
      <c r="A3" s="273" t="s">
        <v>706</v>
      </c>
      <c r="B3" s="309" t="s">
        <v>707</v>
      </c>
      <c r="C3" s="273">
        <f>SUM(C4:C7)</f>
        <v>100000</v>
      </c>
    </row>
    <row r="4" spans="1:13">
      <c r="A4" s="273">
        <v>1</v>
      </c>
      <c r="B4" s="284" t="s">
        <v>709</v>
      </c>
      <c r="C4" s="291">
        <f>D4*10000</f>
        <v>100000</v>
      </c>
      <c r="D4" s="275">
        <v>10</v>
      </c>
    </row>
    <row r="5" spans="1:13">
      <c r="A5" s="273">
        <v>2</v>
      </c>
      <c r="B5" s="284" t="s">
        <v>710</v>
      </c>
      <c r="C5" s="273">
        <v>0</v>
      </c>
    </row>
    <row r="6" spans="1:13">
      <c r="A6" s="273">
        <v>3</v>
      </c>
      <c r="B6" s="284" t="s">
        <v>711</v>
      </c>
      <c r="C6" s="273">
        <v>0</v>
      </c>
      <c r="I6" s="184" t="s">
        <v>786</v>
      </c>
    </row>
    <row r="7" spans="1:13">
      <c r="A7" s="273">
        <v>4</v>
      </c>
      <c r="B7" s="284" t="s">
        <v>712</v>
      </c>
      <c r="C7" s="273">
        <v>0</v>
      </c>
      <c r="I7" s="275">
        <v>139436</v>
      </c>
      <c r="J7" s="290">
        <f>I7/12</f>
        <v>11619.666666666666</v>
      </c>
      <c r="K7" s="275">
        <f>I7*3</f>
        <v>418308</v>
      </c>
    </row>
    <row r="8" spans="1:13">
      <c r="A8" s="273" t="s">
        <v>708</v>
      </c>
      <c r="B8" s="285" t="s">
        <v>713</v>
      </c>
      <c r="C8" s="273">
        <v>60000</v>
      </c>
    </row>
    <row r="9" spans="1:13">
      <c r="A9" s="273" t="s">
        <v>714</v>
      </c>
      <c r="B9" s="285" t="s">
        <v>715</v>
      </c>
      <c r="C9" s="288" t="e">
        <f>SUM(C10:C13)</f>
        <v>#VALUE!</v>
      </c>
    </row>
    <row r="10" spans="1:13">
      <c r="A10" s="273">
        <v>1</v>
      </c>
      <c r="B10" s="284" t="s">
        <v>716</v>
      </c>
      <c r="C10" s="289" t="e">
        <f>IF(C4&gt;输入值【1】!C13*3,输入值【1】!C13*3,C4)*8%</f>
        <v>#VALUE!</v>
      </c>
    </row>
    <row r="11" spans="1:13">
      <c r="A11" s="273">
        <v>2</v>
      </c>
      <c r="B11" s="284" t="s">
        <v>717</v>
      </c>
      <c r="C11" s="289" t="e">
        <f>IF(C4&gt;输入值【1】!C13*3,输入值【1】!C13*3,C4)*2%</f>
        <v>#VALUE!</v>
      </c>
      <c r="I11" s="310" t="s">
        <v>765</v>
      </c>
      <c r="J11" s="350" t="s">
        <v>766</v>
      </c>
      <c r="K11" s="350"/>
      <c r="L11" s="350" t="s">
        <v>767</v>
      </c>
      <c r="M11" s="350"/>
    </row>
    <row r="12" spans="1:13">
      <c r="A12" s="273">
        <v>3</v>
      </c>
      <c r="B12" s="284" t="s">
        <v>718</v>
      </c>
      <c r="C12" s="289" t="e">
        <f>IF(C4&gt;输入值【1】!C13*3,输入值【1】!C13*3,C4)*0.3%</f>
        <v>#VALUE!</v>
      </c>
      <c r="I12" s="278" t="s">
        <v>768</v>
      </c>
      <c r="J12" s="278" t="s">
        <v>769</v>
      </c>
      <c r="K12" s="279">
        <v>0.08</v>
      </c>
      <c r="L12" s="278" t="s">
        <v>769</v>
      </c>
      <c r="M12" s="279">
        <v>0.13</v>
      </c>
    </row>
    <row r="13" spans="1:13">
      <c r="A13" s="273">
        <v>4</v>
      </c>
      <c r="B13" s="284" t="s">
        <v>719</v>
      </c>
      <c r="C13" s="289" t="e">
        <f>IF(C4&gt;输入值【1】!C13*3,输入值【1】!C13*3,C4)*12%</f>
        <v>#VALUE!</v>
      </c>
      <c r="I13" s="310" t="s">
        <v>770</v>
      </c>
      <c r="J13" s="310" t="s">
        <v>769</v>
      </c>
      <c r="K13" s="281">
        <v>0.02</v>
      </c>
      <c r="L13" s="310" t="s">
        <v>769</v>
      </c>
      <c r="M13" s="282">
        <v>6.2E-2</v>
      </c>
    </row>
    <row r="14" spans="1:13">
      <c r="A14" s="273" t="s">
        <v>720</v>
      </c>
      <c r="B14" s="285" t="s">
        <v>721</v>
      </c>
      <c r="C14" s="273">
        <f>SUM(C15:C20)</f>
        <v>54000</v>
      </c>
      <c r="I14" s="278" t="s">
        <v>771</v>
      </c>
      <c r="J14" s="278" t="s">
        <v>769</v>
      </c>
      <c r="K14" s="283">
        <v>3.0000000000000001E-3</v>
      </c>
      <c r="L14" s="278" t="s">
        <v>769</v>
      </c>
      <c r="M14" s="279">
        <v>7.0000000000000001E-3</v>
      </c>
    </row>
    <row r="15" spans="1:13">
      <c r="A15" s="273">
        <v>1</v>
      </c>
      <c r="B15" s="284" t="s">
        <v>722</v>
      </c>
      <c r="C15" s="273">
        <f>1000*1*12</f>
        <v>12000</v>
      </c>
      <c r="I15" s="310" t="s">
        <v>772</v>
      </c>
      <c r="J15" s="310" t="s">
        <v>769</v>
      </c>
      <c r="K15" s="310" t="s">
        <v>769</v>
      </c>
      <c r="L15" s="310" t="s">
        <v>769</v>
      </c>
      <c r="M15" s="282">
        <v>4.8999999999999998E-3</v>
      </c>
    </row>
    <row r="16" spans="1:13">
      <c r="A16" s="273">
        <v>2</v>
      </c>
      <c r="B16" s="284" t="s">
        <v>723</v>
      </c>
      <c r="C16" s="273">
        <v>0</v>
      </c>
      <c r="I16" s="278" t="s">
        <v>773</v>
      </c>
      <c r="J16" s="278" t="s">
        <v>769</v>
      </c>
      <c r="K16" s="278" t="s">
        <v>769</v>
      </c>
      <c r="L16" s="278" t="s">
        <v>769</v>
      </c>
      <c r="M16" s="283">
        <v>5.0000000000000001E-3</v>
      </c>
    </row>
    <row r="17" spans="1:13">
      <c r="A17" s="273">
        <v>3</v>
      </c>
      <c r="B17" s="284" t="s">
        <v>725</v>
      </c>
      <c r="C17" s="273">
        <v>0</v>
      </c>
      <c r="I17" s="310" t="s">
        <v>719</v>
      </c>
      <c r="J17" s="310" t="s">
        <v>769</v>
      </c>
      <c r="K17" s="281">
        <v>0.12</v>
      </c>
      <c r="L17" s="310" t="s">
        <v>769</v>
      </c>
      <c r="M17" s="281">
        <v>0.12</v>
      </c>
    </row>
    <row r="18" spans="1:13">
      <c r="A18" s="273">
        <v>4</v>
      </c>
      <c r="B18" s="284" t="s">
        <v>728</v>
      </c>
      <c r="C18" s="273">
        <v>0</v>
      </c>
      <c r="I18" s="278" t="s">
        <v>774</v>
      </c>
      <c r="J18" s="278" t="s">
        <v>769</v>
      </c>
      <c r="K18" s="278" t="s">
        <v>769</v>
      </c>
      <c r="L18" s="278" t="s">
        <v>769</v>
      </c>
      <c r="M18" s="278" t="s">
        <v>769</v>
      </c>
    </row>
    <row r="19" spans="1:13">
      <c r="A19" s="273">
        <v>5</v>
      </c>
      <c r="B19" s="284" t="s">
        <v>731</v>
      </c>
      <c r="C19" s="273">
        <f>1500*12</f>
        <v>18000</v>
      </c>
    </row>
    <row r="20" spans="1:13">
      <c r="A20" s="273">
        <v>6</v>
      </c>
      <c r="B20" s="284" t="s">
        <v>733</v>
      </c>
      <c r="C20" s="273">
        <f>2000*12</f>
        <v>24000</v>
      </c>
    </row>
    <row r="21" spans="1:13">
      <c r="A21" s="273" t="s">
        <v>726</v>
      </c>
      <c r="B21" s="285" t="s">
        <v>735</v>
      </c>
      <c r="C21" s="273">
        <v>0</v>
      </c>
      <c r="I21" s="310" t="s">
        <v>775</v>
      </c>
      <c r="J21" s="310" t="s">
        <v>776</v>
      </c>
      <c r="K21" s="310" t="s">
        <v>777</v>
      </c>
      <c r="L21" s="310" t="s">
        <v>778</v>
      </c>
    </row>
    <row r="22" spans="1:13">
      <c r="A22" s="273" t="s">
        <v>729</v>
      </c>
      <c r="B22" s="285" t="s">
        <v>724</v>
      </c>
      <c r="C22" s="288" t="e">
        <f>C4+C5*80%+C6*80%*70%+C7*80%-C8-C9-C14-C21</f>
        <v>#VALUE!</v>
      </c>
      <c r="I22" s="310">
        <v>1</v>
      </c>
      <c r="J22" s="310" t="s">
        <v>779</v>
      </c>
      <c r="K22" s="310">
        <v>3</v>
      </c>
      <c r="L22" s="310">
        <v>0</v>
      </c>
    </row>
    <row r="23" spans="1:13">
      <c r="A23" s="273" t="s">
        <v>732</v>
      </c>
      <c r="B23" s="285" t="s">
        <v>727</v>
      </c>
      <c r="C23" s="286" t="e">
        <f>IF(C22&lt;=36000,3%,IF(AND(C22&gt;36000,C22&lt;=144000),10%,IF(AND(144000&lt;C22,C22&lt;=300000),20%,IF(AND(300000&lt;C22,C22&lt;=420000),25%,IF(AND(420000&lt;C22,C22&lt;=660000),30%,IF(AND(C22&gt;660000,C22&lt;=960000),35%,45%))))))</f>
        <v>#VALUE!</v>
      </c>
      <c r="I23" s="310">
        <v>2</v>
      </c>
      <c r="J23" s="310" t="s">
        <v>780</v>
      </c>
      <c r="K23" s="310">
        <v>10</v>
      </c>
      <c r="L23" s="310">
        <v>2520</v>
      </c>
    </row>
    <row r="24" spans="1:13">
      <c r="A24" s="273" t="s">
        <v>734</v>
      </c>
      <c r="B24" s="285" t="s">
        <v>730</v>
      </c>
      <c r="C24" s="273" t="e">
        <f>IF(C22&lt;=36000,0,IF(AND(C22&gt;36000,C22&lt;=144000),2520,IF(AND(144000&lt;C22,C22&lt;=300000),16920,IF(AND(300000&lt;C22,C22&lt;=420000),31920,IF(AND(420000&lt;C22,C22&lt;=660000),52920,IF(AND(C22&gt;660000,C22&lt;=960000),85920,181920))))))</f>
        <v>#VALUE!</v>
      </c>
      <c r="I24" s="310">
        <v>3</v>
      </c>
      <c r="J24" s="310" t="s">
        <v>781</v>
      </c>
      <c r="K24" s="310">
        <v>20</v>
      </c>
      <c r="L24" s="310">
        <v>16920</v>
      </c>
    </row>
    <row r="25" spans="1:13">
      <c r="A25" s="273" t="s">
        <v>736</v>
      </c>
      <c r="B25" s="285" t="s">
        <v>739</v>
      </c>
      <c r="C25" s="288" t="e">
        <f t="shared" ref="C25" si="0">C22*C23-C24</f>
        <v>#VALUE!</v>
      </c>
      <c r="I25" s="310">
        <v>4</v>
      </c>
      <c r="J25" s="310" t="s">
        <v>782</v>
      </c>
      <c r="K25" s="310">
        <v>25</v>
      </c>
      <c r="L25" s="310">
        <v>31920</v>
      </c>
    </row>
    <row r="26" spans="1:13">
      <c r="A26" s="273" t="s">
        <v>737</v>
      </c>
      <c r="B26" s="285" t="s">
        <v>740</v>
      </c>
      <c r="C26" s="273">
        <f>SUM(C27:C31)</f>
        <v>0</v>
      </c>
      <c r="I26" s="310">
        <v>5</v>
      </c>
      <c r="J26" s="310" t="s">
        <v>783</v>
      </c>
      <c r="K26" s="310">
        <v>30</v>
      </c>
      <c r="L26" s="310">
        <v>52920</v>
      </c>
    </row>
    <row r="27" spans="1:13">
      <c r="A27" s="273">
        <v>1</v>
      </c>
      <c r="B27" s="284" t="s">
        <v>741</v>
      </c>
      <c r="C27" s="273">
        <v>0</v>
      </c>
      <c r="I27" s="310">
        <v>6</v>
      </c>
      <c r="J27" s="310" t="s">
        <v>784</v>
      </c>
      <c r="K27" s="310">
        <v>35</v>
      </c>
      <c r="L27" s="310">
        <v>85920</v>
      </c>
    </row>
    <row r="28" spans="1:13">
      <c r="A28" s="273">
        <v>2</v>
      </c>
      <c r="B28" s="284" t="s">
        <v>742</v>
      </c>
      <c r="C28" s="273">
        <v>0</v>
      </c>
      <c r="I28" s="310">
        <v>7</v>
      </c>
      <c r="J28" s="310" t="s">
        <v>785</v>
      </c>
      <c r="K28" s="310">
        <v>45</v>
      </c>
      <c r="L28" s="310">
        <v>181920</v>
      </c>
    </row>
    <row r="29" spans="1:13">
      <c r="A29" s="273">
        <v>3</v>
      </c>
      <c r="B29" s="284" t="s">
        <v>743</v>
      </c>
      <c r="C29" s="273">
        <v>0</v>
      </c>
    </row>
    <row r="30" spans="1:13">
      <c r="A30" s="273">
        <v>4</v>
      </c>
      <c r="B30" s="284" t="s">
        <v>744</v>
      </c>
      <c r="C30" s="273">
        <v>0</v>
      </c>
    </row>
    <row r="31" spans="1:13">
      <c r="A31" s="273">
        <v>5</v>
      </c>
      <c r="B31" s="284" t="s">
        <v>745</v>
      </c>
      <c r="C31" s="273">
        <v>0</v>
      </c>
    </row>
    <row r="32" spans="1:13">
      <c r="A32" s="273" t="s">
        <v>746</v>
      </c>
      <c r="B32" s="285" t="s">
        <v>747</v>
      </c>
      <c r="C32" s="273">
        <f>C28*20%+IF(AND(C29&lt;4000,C29&gt;0),(C29-800)*20%,C29*(1-20%)*20%)+C30*(1-70%)*20%</f>
        <v>0</v>
      </c>
      <c r="I32" s="273" t="s">
        <v>835</v>
      </c>
      <c r="J32" s="273" t="s">
        <v>836</v>
      </c>
    </row>
    <row r="33" spans="1:11">
      <c r="A33" s="273" t="s">
        <v>748</v>
      </c>
      <c r="B33" s="285" t="s">
        <v>749</v>
      </c>
      <c r="C33" s="289" t="e">
        <f>C25+C32</f>
        <v>#VALUE!</v>
      </c>
      <c r="I33" s="273">
        <v>15</v>
      </c>
      <c r="J33" s="287">
        <v>5.1000000000000004E-4</v>
      </c>
    </row>
    <row r="34" spans="1:11">
      <c r="A34" s="273" t="s">
        <v>750</v>
      </c>
      <c r="B34" s="274" t="s">
        <v>738</v>
      </c>
      <c r="C34" s="287" t="e">
        <f>C33/C2</f>
        <v>#VALUE!</v>
      </c>
      <c r="I34" s="273">
        <v>20</v>
      </c>
      <c r="J34" s="287">
        <v>8.0999999999999996E-3</v>
      </c>
      <c r="K34" s="316">
        <f>J34-J33</f>
        <v>7.5899999999999995E-3</v>
      </c>
    </row>
    <row r="35" spans="1:11">
      <c r="C35" s="271"/>
      <c r="D35" s="275"/>
      <c r="I35" s="273">
        <v>30</v>
      </c>
      <c r="J35" s="287">
        <v>3.1300000000000001E-2</v>
      </c>
      <c r="K35" s="316">
        <f t="shared" ref="K35:K57" si="1">J35-J34</f>
        <v>2.3200000000000002E-2</v>
      </c>
    </row>
    <row r="36" spans="1:11">
      <c r="I36" s="273">
        <v>40</v>
      </c>
      <c r="J36" s="287">
        <v>5.6099999999999997E-2</v>
      </c>
      <c r="K36" s="316">
        <f t="shared" si="1"/>
        <v>2.4799999999999996E-2</v>
      </c>
    </row>
    <row r="37" spans="1:11">
      <c r="I37" s="273">
        <v>50</v>
      </c>
      <c r="J37" s="287">
        <v>8.324692639999999E-2</v>
      </c>
      <c r="K37" s="316">
        <f t="shared" si="1"/>
        <v>2.7146926399999993E-2</v>
      </c>
    </row>
    <row r="38" spans="1:11">
      <c r="I38" s="273">
        <v>60</v>
      </c>
      <c r="J38" s="287">
        <v>0.110432215</v>
      </c>
      <c r="K38" s="316">
        <f t="shared" si="1"/>
        <v>2.718528860000001E-2</v>
      </c>
    </row>
    <row r="39" spans="1:11">
      <c r="I39" s="273">
        <v>70</v>
      </c>
      <c r="J39" s="287">
        <v>0.135564564</v>
      </c>
      <c r="K39" s="316">
        <f t="shared" si="1"/>
        <v>2.5132348999999998E-2</v>
      </c>
    </row>
    <row r="40" spans="1:11">
      <c r="I40" s="273">
        <v>80</v>
      </c>
      <c r="J40" s="287">
        <v>0.1561189935</v>
      </c>
      <c r="K40" s="316">
        <f t="shared" si="1"/>
        <v>2.0554429499999999E-2</v>
      </c>
    </row>
    <row r="41" spans="1:11">
      <c r="I41" s="273">
        <v>90</v>
      </c>
      <c r="J41" s="287">
        <v>0.17392340066666664</v>
      </c>
      <c r="K41" s="316">
        <f t="shared" si="1"/>
        <v>1.7804407166666647E-2</v>
      </c>
    </row>
    <row r="42" spans="1:11">
      <c r="I42" s="273">
        <v>100</v>
      </c>
      <c r="J42" s="287">
        <v>0.19153106059999997</v>
      </c>
      <c r="K42" s="316">
        <f t="shared" si="1"/>
        <v>1.7607659933333325E-2</v>
      </c>
    </row>
    <row r="43" spans="1:11">
      <c r="I43" s="273">
        <v>120</v>
      </c>
      <c r="J43" s="287">
        <v>0.22066899350000002</v>
      </c>
      <c r="K43" s="316">
        <f t="shared" si="1"/>
        <v>2.9137932900000052E-2</v>
      </c>
    </row>
    <row r="44" spans="1:11">
      <c r="I44" s="273">
        <v>140</v>
      </c>
      <c r="J44" s="287">
        <v>0.25343056585714285</v>
      </c>
      <c r="K44" s="316">
        <f t="shared" si="1"/>
        <v>3.2761572357142832E-2</v>
      </c>
    </row>
    <row r="45" spans="1:11">
      <c r="I45" s="273">
        <v>160</v>
      </c>
      <c r="J45" s="287">
        <v>0.27800174512500003</v>
      </c>
      <c r="K45" s="316">
        <f t="shared" si="1"/>
        <v>2.4571179267857179E-2</v>
      </c>
    </row>
    <row r="46" spans="1:11">
      <c r="I46" s="273">
        <v>180</v>
      </c>
      <c r="J46" s="287">
        <v>0.29711266233333333</v>
      </c>
      <c r="K46" s="316">
        <f t="shared" si="1"/>
        <v>1.91109172083333E-2</v>
      </c>
    </row>
    <row r="47" spans="1:11">
      <c r="I47" s="273">
        <v>200</v>
      </c>
      <c r="J47" s="287">
        <v>0.31240139610000001</v>
      </c>
      <c r="K47" s="316">
        <f t="shared" si="1"/>
        <v>1.5288733766666673E-2</v>
      </c>
    </row>
    <row r="48" spans="1:11">
      <c r="I48" s="273">
        <v>250</v>
      </c>
      <c r="J48" s="287">
        <v>0.33992111687999998</v>
      </c>
      <c r="K48" s="316">
        <f t="shared" si="1"/>
        <v>2.7519720779999979E-2</v>
      </c>
    </row>
    <row r="49" spans="8:11">
      <c r="I49" s="273">
        <v>300</v>
      </c>
      <c r="J49" s="287">
        <v>0.35826759740000003</v>
      </c>
      <c r="K49" s="316">
        <f t="shared" si="1"/>
        <v>1.8346480520000041E-2</v>
      </c>
    </row>
    <row r="50" spans="8:11">
      <c r="I50" s="273">
        <v>400</v>
      </c>
      <c r="J50" s="287">
        <v>0.38120069805000001</v>
      </c>
      <c r="K50" s="316">
        <f t="shared" si="1"/>
        <v>2.2933100649999982E-2</v>
      </c>
    </row>
    <row r="51" spans="8:11">
      <c r="I51" s="273">
        <v>600</v>
      </c>
      <c r="J51" s="287">
        <v>0.40413379869999999</v>
      </c>
      <c r="K51" s="316">
        <f t="shared" si="1"/>
        <v>2.2933100649999982E-2</v>
      </c>
    </row>
    <row r="52" spans="8:11">
      <c r="I52" s="273">
        <v>700</v>
      </c>
      <c r="J52" s="287">
        <v>0.41068611317142856</v>
      </c>
      <c r="K52" s="316">
        <f t="shared" si="1"/>
        <v>6.5523144714285664E-3</v>
      </c>
    </row>
    <row r="53" spans="8:11">
      <c r="I53" s="273">
        <v>900</v>
      </c>
      <c r="J53" s="287">
        <v>0.41942253246666666</v>
      </c>
      <c r="K53" s="316">
        <f t="shared" si="1"/>
        <v>8.736419295238107E-3</v>
      </c>
    </row>
    <row r="54" spans="8:11">
      <c r="I54" s="273">
        <v>1200</v>
      </c>
      <c r="J54" s="287">
        <v>0.42706689935000003</v>
      </c>
      <c r="K54" s="316">
        <f t="shared" si="1"/>
        <v>7.6443668833333644E-3</v>
      </c>
    </row>
    <row r="55" spans="8:11">
      <c r="I55" s="273">
        <v>1500</v>
      </c>
      <c r="J55" s="287">
        <v>0.43165351948000003</v>
      </c>
      <c r="K55" s="316">
        <f t="shared" si="1"/>
        <v>4.5866201299999965E-3</v>
      </c>
    </row>
    <row r="56" spans="8:11">
      <c r="I56" s="273">
        <v>2000</v>
      </c>
      <c r="J56" s="287">
        <v>0.43624013961000002</v>
      </c>
      <c r="K56" s="316">
        <f t="shared" si="1"/>
        <v>4.5866201299999965E-3</v>
      </c>
    </row>
    <row r="57" spans="8:11">
      <c r="I57" s="273">
        <v>3000</v>
      </c>
      <c r="J57" s="287">
        <v>0.44082675974000002</v>
      </c>
      <c r="K57" s="316">
        <f t="shared" si="1"/>
        <v>4.5866201299999965E-3</v>
      </c>
    </row>
    <row r="58" spans="8:11">
      <c r="K58" s="316"/>
    </row>
    <row r="60" spans="8:11">
      <c r="I60" s="273" t="s">
        <v>838</v>
      </c>
      <c r="J60" s="321" t="s">
        <v>837</v>
      </c>
      <c r="K60" s="273" t="s">
        <v>839</v>
      </c>
    </row>
    <row r="61" spans="8:11">
      <c r="H61" s="352" t="s">
        <v>840</v>
      </c>
      <c r="I61" s="273">
        <v>19</v>
      </c>
      <c r="J61" s="287">
        <v>5.3099999999999996E-3</v>
      </c>
      <c r="K61" s="273">
        <v>3</v>
      </c>
    </row>
    <row r="62" spans="8:11">
      <c r="H62" s="352"/>
      <c r="I62" s="273">
        <v>20</v>
      </c>
      <c r="J62" s="287">
        <v>8.0999999999999996E-3</v>
      </c>
      <c r="K62" s="315">
        <v>10</v>
      </c>
    </row>
    <row r="63" spans="8:11">
      <c r="H63" s="352"/>
      <c r="I63" s="273">
        <v>33</v>
      </c>
      <c r="J63" s="287">
        <v>3.5518181818181817E-2</v>
      </c>
      <c r="K63" s="315">
        <v>20</v>
      </c>
    </row>
    <row r="64" spans="8:11">
      <c r="H64" s="352"/>
      <c r="I64" s="273">
        <v>51</v>
      </c>
      <c r="J64" s="287">
        <v>8.5802605882352931E-2</v>
      </c>
      <c r="K64" s="315">
        <v>25</v>
      </c>
    </row>
    <row r="65" spans="8:11">
      <c r="H65" s="352"/>
      <c r="I65" s="273">
        <v>63</v>
      </c>
      <c r="J65" s="287">
        <v>0.11729396</v>
      </c>
      <c r="K65" s="315">
        <v>30</v>
      </c>
    </row>
    <row r="66" spans="8:11">
      <c r="H66" s="352"/>
      <c r="I66" s="273">
        <v>87</v>
      </c>
      <c r="J66" s="287">
        <v>0.16785179379310342</v>
      </c>
      <c r="K66" s="315">
        <v>35</v>
      </c>
    </row>
    <row r="67" spans="8:11">
      <c r="H67" s="352"/>
      <c r="I67" s="273">
        <v>118</v>
      </c>
      <c r="J67" s="287">
        <v>0.21678202728813561</v>
      </c>
      <c r="K67" s="315">
        <v>45</v>
      </c>
    </row>
    <row r="68" spans="8:11">
      <c r="I68" s="273">
        <v>200</v>
      </c>
      <c r="J68" s="287">
        <v>0.31240139610000001</v>
      </c>
      <c r="K68" s="315">
        <v>45</v>
      </c>
    </row>
    <row r="69" spans="8:11">
      <c r="I69" s="273">
        <v>300</v>
      </c>
      <c r="J69" s="287">
        <v>0.35826759740000003</v>
      </c>
      <c r="K69" s="315">
        <v>45</v>
      </c>
    </row>
    <row r="70" spans="8:11">
      <c r="I70" s="273">
        <v>500</v>
      </c>
      <c r="J70" s="287">
        <v>0.39496055844</v>
      </c>
      <c r="K70" s="315">
        <v>45</v>
      </c>
    </row>
    <row r="71" spans="8:11">
      <c r="I71" s="273">
        <v>800</v>
      </c>
      <c r="J71" s="287">
        <v>0.41560034902499998</v>
      </c>
      <c r="K71" s="315">
        <v>45</v>
      </c>
    </row>
    <row r="72" spans="8:11">
      <c r="I72" s="273">
        <v>1000</v>
      </c>
      <c r="J72" s="287">
        <v>0.42248027921999998</v>
      </c>
      <c r="K72" s="315">
        <v>45</v>
      </c>
    </row>
    <row r="73" spans="8:11">
      <c r="I73" s="273">
        <v>1500</v>
      </c>
      <c r="J73" s="287">
        <v>0.43165351948000003</v>
      </c>
      <c r="K73" s="273">
        <v>45</v>
      </c>
    </row>
  </sheetData>
  <mergeCells count="4">
    <mergeCell ref="A2:B2"/>
    <mergeCell ref="J11:K11"/>
    <mergeCell ref="L11:M11"/>
    <mergeCell ref="H61:H67"/>
  </mergeCells>
  <phoneticPr fontId="7" type="noConversion"/>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2:S36"/>
  <sheetViews>
    <sheetView workbookViewId="0">
      <selection activeCell="G68" sqref="G68"/>
    </sheetView>
  </sheetViews>
  <sheetFormatPr defaultRowHeight="12.5"/>
  <cols>
    <col min="1" max="1" width="21.81640625" customWidth="1"/>
    <col min="2" max="2" width="13.54296875" customWidth="1"/>
    <col min="3" max="3" width="11.54296875" customWidth="1"/>
    <col min="4" max="4" width="12.81640625" customWidth="1"/>
    <col min="5" max="7" width="11.54296875" customWidth="1"/>
    <col min="8" max="8" width="11.453125" customWidth="1"/>
    <col min="9" max="9" width="11.54296875" customWidth="1"/>
    <col min="10" max="10" width="10.1796875" customWidth="1"/>
    <col min="14" max="14" width="11.1796875" bestFit="1" customWidth="1"/>
    <col min="16" max="16" width="12.1796875" customWidth="1"/>
    <col min="17" max="17" width="11.453125" customWidth="1"/>
    <col min="18" max="18" width="10" bestFit="1" customWidth="1"/>
    <col min="19" max="19" width="12.81640625" bestFit="1" customWidth="1"/>
  </cols>
  <sheetData>
    <row r="2" spans="1:19" ht="26">
      <c r="A2" s="170" t="s">
        <v>502</v>
      </c>
      <c r="B2" s="170" t="s">
        <v>461</v>
      </c>
      <c r="C2" s="170" t="s">
        <v>462</v>
      </c>
      <c r="D2" s="170" t="s">
        <v>463</v>
      </c>
      <c r="E2" s="169" t="s">
        <v>486</v>
      </c>
      <c r="F2" s="169" t="s">
        <v>487</v>
      </c>
      <c r="G2" s="169" t="s">
        <v>473</v>
      </c>
      <c r="H2" s="169" t="s">
        <v>477</v>
      </c>
      <c r="I2" s="169" t="s">
        <v>465</v>
      </c>
      <c r="J2" s="169" t="s">
        <v>466</v>
      </c>
      <c r="K2" s="175" t="s">
        <v>467</v>
      </c>
      <c r="L2" s="175" t="s">
        <v>469</v>
      </c>
      <c r="M2" s="175" t="s">
        <v>471</v>
      </c>
      <c r="N2" s="169" t="s">
        <v>494</v>
      </c>
      <c r="O2" s="169" t="s">
        <v>505</v>
      </c>
      <c r="P2" s="169" t="s">
        <v>360</v>
      </c>
      <c r="Q2" s="169" t="s">
        <v>490</v>
      </c>
      <c r="R2" s="169" t="s">
        <v>498</v>
      </c>
      <c r="S2" s="169" t="s">
        <v>499</v>
      </c>
    </row>
    <row r="3" spans="1:19" ht="13">
      <c r="A3" s="170" t="s">
        <v>503</v>
      </c>
      <c r="B3" s="171">
        <v>174</v>
      </c>
      <c r="C3" s="171">
        <v>63402</v>
      </c>
      <c r="D3" s="171">
        <v>3671</v>
      </c>
      <c r="E3" s="171">
        <v>21.05</v>
      </c>
      <c r="F3" s="176">
        <v>29.32</v>
      </c>
      <c r="G3" s="176">
        <v>50.38</v>
      </c>
      <c r="H3" s="172">
        <f>106987469.09/10000/D3</f>
        <v>2.9143957801688911</v>
      </c>
      <c r="I3" s="171">
        <v>75784</v>
      </c>
      <c r="J3" s="171">
        <v>1882</v>
      </c>
      <c r="K3" s="171">
        <v>3349</v>
      </c>
      <c r="L3" s="171">
        <v>6990</v>
      </c>
      <c r="M3" s="171">
        <v>2020</v>
      </c>
      <c r="N3" s="179">
        <f>(3132321099.22+1155038398.74+252323623.58+273407922.76)/10000</f>
        <v>481309.10443000001</v>
      </c>
      <c r="O3" s="185">
        <v>73790.91</v>
      </c>
      <c r="P3" s="176">
        <v>56.794110000000003</v>
      </c>
      <c r="Q3" s="179">
        <v>1821.652928</v>
      </c>
      <c r="R3" s="179">
        <v>13152.673334999999</v>
      </c>
      <c r="S3" s="173">
        <f>606382586.21/10000</f>
        <v>60638.258621000001</v>
      </c>
    </row>
    <row r="4" spans="1:19" ht="13">
      <c r="A4" s="170" t="s">
        <v>504</v>
      </c>
      <c r="B4" s="171">
        <v>8</v>
      </c>
      <c r="C4" s="171">
        <v>9919</v>
      </c>
      <c r="D4" s="171">
        <v>449</v>
      </c>
      <c r="E4" s="176">
        <f>1980615.81/10000</f>
        <v>198.06158100000002</v>
      </c>
      <c r="F4" s="176">
        <f>G4-E4</f>
        <v>26.939918999999975</v>
      </c>
      <c r="G4" s="176">
        <f>225.0015</f>
        <v>225.00149999999999</v>
      </c>
      <c r="H4" s="172">
        <f>6433.44/D4</f>
        <v>14.32837416481069</v>
      </c>
      <c r="I4" s="1"/>
      <c r="J4" s="171">
        <v>6400</v>
      </c>
      <c r="K4" s="171">
        <v>6500</v>
      </c>
      <c r="L4" s="1"/>
      <c r="M4" s="171">
        <v>950</v>
      </c>
      <c r="N4" s="179">
        <f>248851219.41/10000</f>
        <v>24885.121941000001</v>
      </c>
      <c r="O4" s="179">
        <f>97583.99</f>
        <v>97583.99</v>
      </c>
      <c r="P4" s="176">
        <f>161044.23/10000</f>
        <v>16.104423000000001</v>
      </c>
      <c r="Q4" s="173">
        <f>62442688.5/10000</f>
        <v>6244.2688500000004</v>
      </c>
      <c r="R4" s="179">
        <f>304314395.96/10000</f>
        <v>30431.439595999997</v>
      </c>
      <c r="S4" s="173">
        <v>67152.55</v>
      </c>
    </row>
    <row r="5" spans="1:19" ht="13">
      <c r="A5" s="170" t="s">
        <v>506</v>
      </c>
      <c r="B5" s="171">
        <v>1</v>
      </c>
      <c r="C5" s="6">
        <f>1250+1281</f>
        <v>2531</v>
      </c>
      <c r="D5" s="171">
        <v>172</v>
      </c>
      <c r="E5" s="177">
        <f>41310584465.69/10000/10000</f>
        <v>413.10584465690005</v>
      </c>
      <c r="F5" s="176">
        <f>G5-E5</f>
        <v>60.688239111199948</v>
      </c>
      <c r="G5" s="177">
        <f>47379408376.81/10000/10000</f>
        <v>473.79408376809999</v>
      </c>
      <c r="H5" s="172">
        <f>9097.72/D5</f>
        <v>52.893720930232554</v>
      </c>
      <c r="I5" s="186">
        <v>1250</v>
      </c>
      <c r="J5" s="171">
        <v>775</v>
      </c>
      <c r="K5" s="186">
        <v>409</v>
      </c>
      <c r="L5" s="171"/>
      <c r="M5" s="171">
        <v>915</v>
      </c>
      <c r="N5" s="179">
        <f>127182665.68/10000</f>
        <v>12718.266568000001</v>
      </c>
      <c r="O5" s="179">
        <f>1155379117.42/10000</f>
        <v>115537.91174200001</v>
      </c>
      <c r="P5" s="176">
        <f>1508568703.13/10000/10000</f>
        <v>15.085687031300003</v>
      </c>
      <c r="Q5" s="173">
        <f>3553216.02/10000</f>
        <v>355.32160199999998</v>
      </c>
      <c r="R5" s="179">
        <f>288769521.83/10000</f>
        <v>28876.952182999998</v>
      </c>
      <c r="S5" s="173">
        <f>866609595.59/10000</f>
        <v>86660.95955900001</v>
      </c>
    </row>
    <row r="6" spans="1:19" ht="13">
      <c r="A6" s="190" t="s">
        <v>526</v>
      </c>
      <c r="B6" s="191">
        <v>2</v>
      </c>
      <c r="C6" s="191">
        <f>15852.91+1386.39</f>
        <v>17239.3</v>
      </c>
      <c r="D6" s="191">
        <f>421+1030</f>
        <v>1451</v>
      </c>
      <c r="E6" s="177">
        <f>142115553.29/10000/10000</f>
        <v>1.4211555328999999</v>
      </c>
      <c r="F6" s="177">
        <f>662416980.6/10000/10000</f>
        <v>6.6241698059999994</v>
      </c>
      <c r="G6" s="177">
        <f>804532533.89/10000/10000</f>
        <v>8.0453253388999997</v>
      </c>
      <c r="H6" s="191"/>
      <c r="I6" s="191"/>
      <c r="J6" s="207">
        <v>4275.82</v>
      </c>
      <c r="K6" s="207">
        <v>137.66</v>
      </c>
      <c r="L6" s="207"/>
      <c r="M6" s="207">
        <v>280</v>
      </c>
      <c r="N6" s="207">
        <f>7247.87+8793.35+5077.06</f>
        <v>21118.280000000002</v>
      </c>
      <c r="O6" s="207">
        <f>21618.84</f>
        <v>21618.84</v>
      </c>
      <c r="P6" s="207">
        <f>44498.9/10000</f>
        <v>4.4498899999999999</v>
      </c>
      <c r="Q6" s="207">
        <f>23639972.06/10000</f>
        <v>2363.997206</v>
      </c>
      <c r="R6" s="207">
        <v>2853.12</v>
      </c>
      <c r="S6" s="207">
        <v>18765.72</v>
      </c>
    </row>
    <row r="15" spans="1:19" ht="13">
      <c r="A15" s="219" t="s">
        <v>598</v>
      </c>
      <c r="B15" s="219" t="s">
        <v>507</v>
      </c>
      <c r="C15" s="219" t="s">
        <v>508</v>
      </c>
      <c r="D15" s="219" t="s">
        <v>509</v>
      </c>
      <c r="E15" s="208" t="s">
        <v>527</v>
      </c>
      <c r="F15" s="219" t="s">
        <v>597</v>
      </c>
      <c r="M15" s="168"/>
      <c r="N15" s="168"/>
      <c r="O15" s="168"/>
    </row>
    <row r="16" spans="1:19" ht="13">
      <c r="A16" s="331" t="s">
        <v>601</v>
      </c>
      <c r="B16" s="331"/>
      <c r="C16" s="331"/>
      <c r="D16" s="331"/>
      <c r="E16" s="331"/>
      <c r="F16" s="331"/>
      <c r="M16" s="168"/>
      <c r="N16" s="168"/>
      <c r="O16" s="168"/>
    </row>
    <row r="17" spans="1:10" ht="13">
      <c r="A17" s="219" t="s">
        <v>480</v>
      </c>
      <c r="B17" s="183">
        <f>SUM(C3)/SUM(B3)</f>
        <v>364.37931034482756</v>
      </c>
      <c r="C17" s="183">
        <f>C4/B4</f>
        <v>1239.875</v>
      </c>
      <c r="D17" s="220">
        <f>C5</f>
        <v>2531</v>
      </c>
      <c r="E17" s="220">
        <f>C6/B6</f>
        <v>8619.65</v>
      </c>
      <c r="F17" s="222" t="e">
        <f>城商银行参数!#REF!</f>
        <v>#REF!</v>
      </c>
    </row>
    <row r="18" spans="1:10" ht="13">
      <c r="A18" s="219" t="s">
        <v>479</v>
      </c>
      <c r="B18" s="222">
        <f>INT(SUM(D3:D5)/SUM(B3:B5))</f>
        <v>23</v>
      </c>
      <c r="C18" s="220">
        <f>INT(D4/B4)</f>
        <v>56</v>
      </c>
      <c r="D18" s="220">
        <f>D5</f>
        <v>172</v>
      </c>
      <c r="E18" s="220">
        <f>D6/B6</f>
        <v>725.5</v>
      </c>
      <c r="F18" s="222" t="e">
        <f>城商银行参数!#REF!</f>
        <v>#REF!</v>
      </c>
    </row>
    <row r="19" spans="1:10" ht="13">
      <c r="A19" s="219" t="s">
        <v>561</v>
      </c>
      <c r="B19" s="222">
        <f>B17/B18</f>
        <v>15.842578710644677</v>
      </c>
      <c r="C19" s="222">
        <f t="shared" ref="C19:E19" si="0">C17/C18</f>
        <v>22.140625</v>
      </c>
      <c r="D19" s="222">
        <f t="shared" si="0"/>
        <v>14.715116279069768</v>
      </c>
      <c r="E19" s="222">
        <f t="shared" si="0"/>
        <v>11.880978635423846</v>
      </c>
      <c r="F19" s="222" t="e">
        <f>城商银行参数!#REF!</f>
        <v>#REF!</v>
      </c>
    </row>
    <row r="20" spans="1:10" ht="13">
      <c r="A20" s="219" t="s">
        <v>478</v>
      </c>
      <c r="B20" s="221">
        <f>SUM(P3)/SUM(B3)</f>
        <v>0.32640293103448276</v>
      </c>
      <c r="C20" s="221">
        <f>P4/B4</f>
        <v>2.0130528750000001</v>
      </c>
      <c r="D20" s="176">
        <f>P5</f>
        <v>15.085687031300003</v>
      </c>
      <c r="E20" s="221">
        <f>P6/B6</f>
        <v>2.224945</v>
      </c>
      <c r="F20" s="222" t="e">
        <f>城商银行参数!#REF!</f>
        <v>#REF!</v>
      </c>
    </row>
    <row r="21" spans="1:10" ht="13">
      <c r="A21" s="219" t="s">
        <v>481</v>
      </c>
      <c r="B21" s="221">
        <f>SUM(G3)/SUM(B3)</f>
        <v>0.28954022988505751</v>
      </c>
      <c r="C21" s="221">
        <f>G4/B4</f>
        <v>28.125187499999999</v>
      </c>
      <c r="D21" s="176">
        <f>G5</f>
        <v>473.79408376809999</v>
      </c>
      <c r="E21" s="221">
        <f>G6/B6</f>
        <v>4.0226626694499998</v>
      </c>
      <c r="F21" s="222" t="e">
        <f>城商银行参数!#REF!</f>
        <v>#REF!</v>
      </c>
    </row>
    <row r="22" spans="1:10" ht="13">
      <c r="A22" s="219" t="s">
        <v>488</v>
      </c>
      <c r="B22" s="221">
        <f>SUM(F3)/SUM(B3)</f>
        <v>0.16850574712643679</v>
      </c>
      <c r="C22" s="221">
        <f>F4/B4</f>
        <v>3.3674898749999969</v>
      </c>
      <c r="D22" s="176">
        <f>F5</f>
        <v>60.688239111199948</v>
      </c>
      <c r="E22" s="221">
        <f>F6/B6</f>
        <v>3.3120849029999997</v>
      </c>
      <c r="F22" s="222" t="e">
        <f>城商银行参数!#REF!</f>
        <v>#REF!</v>
      </c>
    </row>
    <row r="23" spans="1:10" ht="13">
      <c r="A23" s="331" t="s">
        <v>599</v>
      </c>
      <c r="B23" s="331"/>
      <c r="C23" s="331"/>
      <c r="D23" s="331"/>
      <c r="E23" s="331"/>
      <c r="F23" s="331"/>
      <c r="J23" s="178"/>
    </row>
    <row r="24" spans="1:10" ht="13">
      <c r="A24" s="219" t="s">
        <v>482</v>
      </c>
      <c r="B24" s="221">
        <f>I3/B3</f>
        <v>435.5402298850575</v>
      </c>
      <c r="C24" s="220">
        <f>I4/B4</f>
        <v>0</v>
      </c>
      <c r="D24" s="186">
        <f>I5</f>
        <v>1250</v>
      </c>
      <c r="E24" s="220">
        <f>I6</f>
        <v>0</v>
      </c>
      <c r="F24" s="221" t="e">
        <f>城商银行参数!#REF!</f>
        <v>#REF!</v>
      </c>
      <c r="J24" s="178"/>
    </row>
    <row r="25" spans="1:10" ht="13">
      <c r="A25" s="219" t="s">
        <v>483</v>
      </c>
      <c r="B25" s="221">
        <f>J3/B3</f>
        <v>10.816091954022989</v>
      </c>
      <c r="C25" s="176">
        <f>J4/B4</f>
        <v>800</v>
      </c>
      <c r="D25" s="220">
        <f>J5</f>
        <v>775</v>
      </c>
      <c r="E25" s="207">
        <f>J6</f>
        <v>4275.82</v>
      </c>
      <c r="F25" s="221" t="e">
        <f>城商银行参数!#REF!</f>
        <v>#REF!</v>
      </c>
      <c r="J25" s="178"/>
    </row>
    <row r="26" spans="1:10" ht="13">
      <c r="A26" s="219" t="s">
        <v>484</v>
      </c>
      <c r="B26" s="221">
        <f>K3/B3</f>
        <v>19.24712643678161</v>
      </c>
      <c r="C26" s="176">
        <f>K4/B4</f>
        <v>812.5</v>
      </c>
      <c r="D26" s="186">
        <f>K5</f>
        <v>409</v>
      </c>
      <c r="E26" s="207">
        <f>K6</f>
        <v>137.66</v>
      </c>
      <c r="F26" s="221" t="e">
        <f>城商银行参数!#REF!</f>
        <v>#REF!</v>
      </c>
    </row>
    <row r="27" spans="1:10" ht="13">
      <c r="A27" s="219" t="s">
        <v>485</v>
      </c>
      <c r="B27" s="221">
        <f>(M3)/(B3)</f>
        <v>11.60919540229885</v>
      </c>
      <c r="C27" s="220">
        <f>M4/B4</f>
        <v>118.75</v>
      </c>
      <c r="D27" s="220">
        <f>M5</f>
        <v>915</v>
      </c>
      <c r="E27" s="207">
        <f>M6</f>
        <v>280</v>
      </c>
      <c r="F27" s="221" t="e">
        <f>城商银行参数!#REF!</f>
        <v>#REF!</v>
      </c>
    </row>
    <row r="28" spans="1:10" ht="13">
      <c r="A28" s="219" t="s">
        <v>500</v>
      </c>
      <c r="B28" s="221">
        <f>SUM(B24:B27)</f>
        <v>477.21264367816093</v>
      </c>
      <c r="C28" s="221">
        <f t="shared" ref="C28:E28" si="1">SUM(C24:C27)</f>
        <v>1731.25</v>
      </c>
      <c r="D28" s="221">
        <f t="shared" si="1"/>
        <v>3349</v>
      </c>
      <c r="E28" s="221">
        <f t="shared" si="1"/>
        <v>4693.4799999999996</v>
      </c>
      <c r="F28" s="221" t="e">
        <f>城商银行参数!#REF!</f>
        <v>#REF!</v>
      </c>
    </row>
    <row r="29" spans="1:10" ht="13">
      <c r="A29" s="331" t="s">
        <v>600</v>
      </c>
      <c r="B29" s="332"/>
      <c r="C29" s="332"/>
      <c r="D29" s="332"/>
      <c r="E29" s="332"/>
      <c r="F29" s="332"/>
    </row>
    <row r="30" spans="1:10" ht="13">
      <c r="A30" s="219" t="s">
        <v>501</v>
      </c>
      <c r="B30" s="221">
        <f>B21*10000-B28</f>
        <v>2418.1896551724139</v>
      </c>
      <c r="C30" s="221">
        <f>C21*10000-C28</f>
        <v>279520.625</v>
      </c>
      <c r="D30" s="221">
        <f>D21*10000-D28</f>
        <v>4734591.8376810001</v>
      </c>
      <c r="E30" s="221">
        <f>E21*10000-5559.49</f>
        <v>34667.136694499997</v>
      </c>
      <c r="F30" s="221" t="e">
        <f>城商银行参数!#REF!</f>
        <v>#REF!</v>
      </c>
    </row>
    <row r="31" spans="1:10" ht="13">
      <c r="A31" s="218" t="s">
        <v>491</v>
      </c>
      <c r="B31" s="199">
        <f>Q3/P3/10000</f>
        <v>3.2074680420205548E-3</v>
      </c>
      <c r="C31" s="199">
        <f>Q4/P4/10000</f>
        <v>3.8773626661445744E-2</v>
      </c>
      <c r="D31" s="199">
        <f>Q5/P5/10000</f>
        <v>2.3553557836827289E-3</v>
      </c>
      <c r="E31" s="199">
        <f>Q6/P6/10000</f>
        <v>5.3124845917539541E-2</v>
      </c>
      <c r="F31" s="199" t="e">
        <f>城商银行参数!#REF!</f>
        <v>#REF!</v>
      </c>
    </row>
    <row r="32" spans="1:10" ht="26">
      <c r="A32" s="218" t="s">
        <v>493</v>
      </c>
      <c r="B32" s="199">
        <f>N3/10000/P3</f>
        <v>0.84746306338808719</v>
      </c>
      <c r="C32" s="199">
        <f>N4/10000/P4</f>
        <v>0.1545235240095221</v>
      </c>
      <c r="D32" s="199">
        <f>N5/10000/P5</f>
        <v>8.4306843577040644E-2</v>
      </c>
      <c r="E32" s="199">
        <f>N6/10000/P6</f>
        <v>0.4745798210742288</v>
      </c>
      <c r="F32" s="199" t="e">
        <f>城商银行参数!#REF!</f>
        <v>#REF!</v>
      </c>
    </row>
    <row r="33" spans="1:6" ht="13">
      <c r="A33" s="218" t="s">
        <v>495</v>
      </c>
      <c r="B33" s="199">
        <f>O3/10000/P3</f>
        <v>0.12992704701244548</v>
      </c>
      <c r="C33" s="199">
        <f>O4/10000/P4</f>
        <v>0.60594527354379601</v>
      </c>
      <c r="D33" s="199">
        <f>O5/10000/P5</f>
        <v>0.76587769255904803</v>
      </c>
      <c r="E33" s="199">
        <f>O6/10000/P6</f>
        <v>0.48582863846072605</v>
      </c>
      <c r="F33" s="199" t="e">
        <f>城商银行参数!#REF!</f>
        <v>#REF!</v>
      </c>
    </row>
    <row r="34" spans="1:6" ht="13">
      <c r="A34" s="218" t="s">
        <v>492</v>
      </c>
      <c r="B34" s="199">
        <f>R3/O3</f>
        <v>0.17824246014854675</v>
      </c>
      <c r="C34" s="199">
        <f>R4/O4</f>
        <v>0.31184869153228922</v>
      </c>
      <c r="D34" s="199">
        <f>R5/O5</f>
        <v>0.24993486335016327</v>
      </c>
      <c r="E34" s="199">
        <f>R6/O6</f>
        <v>0.13197377842659458</v>
      </c>
      <c r="F34" s="199" t="e">
        <f>城商银行参数!#REF!</f>
        <v>#REF!</v>
      </c>
    </row>
    <row r="35" spans="1:6" ht="13">
      <c r="A35" s="181" t="s">
        <v>497</v>
      </c>
      <c r="B35" s="199">
        <f>S3/10000/F3</f>
        <v>0.20681534318212824</v>
      </c>
      <c r="C35" s="199">
        <f>S4/10000/F4</f>
        <v>0.24926782445040041</v>
      </c>
      <c r="D35" s="199">
        <f>S5/10000/F5</f>
        <v>0.14279695840278026</v>
      </c>
      <c r="E35" s="199">
        <f>S6/10000/F6</f>
        <v>0.28329165087227237</v>
      </c>
      <c r="F35" s="199" t="e">
        <f>城商银行参数!#REF!</f>
        <v>#REF!</v>
      </c>
    </row>
    <row r="36" spans="1:6">
      <c r="E36" s="199"/>
    </row>
  </sheetData>
  <mergeCells count="3">
    <mergeCell ref="A23:F23"/>
    <mergeCell ref="A29:F29"/>
    <mergeCell ref="A16:F16"/>
  </mergeCells>
  <phoneticPr fontId="7" type="noConversion"/>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174"/>
  <sheetViews>
    <sheetView topLeftCell="A4" workbookViewId="0">
      <selection activeCell="F38" sqref="F38"/>
    </sheetView>
  </sheetViews>
  <sheetFormatPr defaultColWidth="9" defaultRowHeight="14"/>
  <cols>
    <col min="1" max="16384" width="9" style="184"/>
  </cols>
  <sheetData>
    <row r="1" spans="1:1">
      <c r="A1" s="184">
        <v>16000</v>
      </c>
    </row>
    <row r="2" spans="1:1">
      <c r="A2" s="184">
        <v>1982</v>
      </c>
    </row>
    <row r="3" spans="1:1">
      <c r="A3" s="184">
        <v>3258</v>
      </c>
    </row>
    <row r="4" spans="1:1">
      <c r="A4" s="184">
        <v>1982</v>
      </c>
    </row>
    <row r="5" spans="1:1">
      <c r="A5" s="184">
        <v>9052</v>
      </c>
    </row>
    <row r="6" spans="1:1">
      <c r="A6" s="184">
        <v>606</v>
      </c>
    </row>
    <row r="7" spans="1:1">
      <c r="A7" s="184">
        <v>101</v>
      </c>
    </row>
    <row r="8" spans="1:1">
      <c r="A8" s="184">
        <v>132</v>
      </c>
    </row>
    <row r="9" spans="1:1">
      <c r="A9" s="184">
        <v>139</v>
      </c>
    </row>
    <row r="10" spans="1:1">
      <c r="A10" s="184">
        <v>123</v>
      </c>
    </row>
    <row r="11" spans="1:1">
      <c r="A11" s="184">
        <v>1012</v>
      </c>
    </row>
    <row r="12" spans="1:1">
      <c r="A12" s="184">
        <v>429</v>
      </c>
    </row>
    <row r="13" spans="1:1">
      <c r="A13" s="184">
        <v>259</v>
      </c>
    </row>
    <row r="14" spans="1:1">
      <c r="A14" s="184">
        <v>73</v>
      </c>
    </row>
    <row r="15" spans="1:1">
      <c r="A15" s="184">
        <v>135</v>
      </c>
    </row>
    <row r="16" spans="1:1">
      <c r="A16" s="184">
        <v>123</v>
      </c>
    </row>
    <row r="17" spans="1:1">
      <c r="A17" s="184">
        <v>127</v>
      </c>
    </row>
    <row r="18" spans="1:1">
      <c r="A18" s="184">
        <v>63</v>
      </c>
    </row>
    <row r="19" spans="1:1">
      <c r="A19" s="184">
        <v>117</v>
      </c>
    </row>
    <row r="20" spans="1:1">
      <c r="A20" s="184">
        <v>40</v>
      </c>
    </row>
    <row r="21" spans="1:1">
      <c r="A21" s="184">
        <v>63</v>
      </c>
    </row>
    <row r="22" spans="1:1">
      <c r="A22" s="184">
        <v>600</v>
      </c>
    </row>
    <row r="23" spans="1:1">
      <c r="A23" s="184">
        <v>44</v>
      </c>
    </row>
    <row r="24" spans="1:1">
      <c r="A24" s="184">
        <v>235</v>
      </c>
    </row>
    <row r="25" spans="1:1">
      <c r="A25" s="184">
        <v>67</v>
      </c>
    </row>
    <row r="26" spans="1:1">
      <c r="A26" s="184">
        <v>78</v>
      </c>
    </row>
    <row r="27" spans="1:1">
      <c r="A27" s="184">
        <v>110</v>
      </c>
    </row>
    <row r="28" spans="1:1">
      <c r="A28" s="184">
        <v>197</v>
      </c>
    </row>
    <row r="29" spans="1:1">
      <c r="A29" s="184">
        <v>147</v>
      </c>
    </row>
    <row r="30" spans="1:1">
      <c r="A30" s="184">
        <v>38</v>
      </c>
    </row>
    <row r="31" spans="1:1">
      <c r="A31" s="184">
        <v>82</v>
      </c>
    </row>
    <row r="32" spans="1:1">
      <c r="A32" s="184">
        <v>164</v>
      </c>
    </row>
    <row r="33" spans="1:1">
      <c r="A33" s="184">
        <v>617</v>
      </c>
    </row>
    <row r="34" spans="1:1">
      <c r="A34" s="184">
        <v>127</v>
      </c>
    </row>
    <row r="35" spans="1:1">
      <c r="A35" s="184">
        <v>172</v>
      </c>
    </row>
    <row r="36" spans="1:1">
      <c r="A36" s="184">
        <v>96</v>
      </c>
    </row>
    <row r="37" spans="1:1">
      <c r="A37" s="184">
        <v>143</v>
      </c>
    </row>
    <row r="38" spans="1:1">
      <c r="A38" s="184">
        <v>82</v>
      </c>
    </row>
    <row r="39" spans="1:1">
      <c r="A39" s="184">
        <v>66</v>
      </c>
    </row>
    <row r="40" spans="1:1">
      <c r="A40" s="184">
        <v>133</v>
      </c>
    </row>
    <row r="41" spans="1:1">
      <c r="A41" s="184">
        <v>143</v>
      </c>
    </row>
    <row r="42" spans="1:1">
      <c r="A42" s="184">
        <v>503</v>
      </c>
    </row>
    <row r="43" spans="1:1">
      <c r="A43" s="184">
        <v>159</v>
      </c>
    </row>
    <row r="44" spans="1:1">
      <c r="A44" s="184">
        <v>45</v>
      </c>
    </row>
    <row r="45" spans="1:1">
      <c r="A45" s="184">
        <v>78</v>
      </c>
    </row>
    <row r="46" spans="1:1">
      <c r="A46" s="184">
        <v>80</v>
      </c>
    </row>
    <row r="47" spans="1:1">
      <c r="A47" s="184">
        <v>155</v>
      </c>
    </row>
    <row r="48" spans="1:1">
      <c r="A48" s="184">
        <v>131</v>
      </c>
    </row>
    <row r="49" spans="1:1">
      <c r="A49" s="184">
        <v>145</v>
      </c>
    </row>
    <row r="50" spans="1:1">
      <c r="A50" s="184">
        <v>76</v>
      </c>
    </row>
    <row r="51" spans="1:1">
      <c r="A51" s="184">
        <v>635</v>
      </c>
    </row>
    <row r="52" spans="1:1">
      <c r="A52" s="184">
        <v>163</v>
      </c>
    </row>
    <row r="53" spans="1:1">
      <c r="A53" s="184">
        <v>121</v>
      </c>
    </row>
    <row r="54" spans="1:1">
      <c r="A54" s="184">
        <v>144</v>
      </c>
    </row>
    <row r="55" spans="1:1">
      <c r="A55" s="184">
        <v>136</v>
      </c>
    </row>
    <row r="56" spans="1:1">
      <c r="A56" s="184">
        <v>117</v>
      </c>
    </row>
    <row r="57" spans="1:1">
      <c r="A57" s="184">
        <v>83</v>
      </c>
    </row>
    <row r="58" spans="1:1">
      <c r="A58" s="184">
        <v>90</v>
      </c>
    </row>
    <row r="59" spans="1:1">
      <c r="A59" s="184">
        <v>311</v>
      </c>
    </row>
    <row r="60" spans="1:1">
      <c r="A60" s="184">
        <v>100</v>
      </c>
    </row>
    <row r="61" spans="1:1">
      <c r="A61" s="184">
        <v>331</v>
      </c>
    </row>
    <row r="62" spans="1:1">
      <c r="A62" s="184">
        <v>230</v>
      </c>
    </row>
    <row r="63" spans="1:1">
      <c r="A63" s="184">
        <v>582</v>
      </c>
    </row>
    <row r="64" spans="1:1">
      <c r="A64" s="184">
        <v>116</v>
      </c>
    </row>
    <row r="65" spans="1:1">
      <c r="A65" s="184">
        <v>720</v>
      </c>
    </row>
    <row r="66" spans="1:1">
      <c r="A66" s="184">
        <v>46</v>
      </c>
    </row>
    <row r="67" spans="1:1">
      <c r="A67" s="184">
        <v>43</v>
      </c>
    </row>
    <row r="68" spans="1:1">
      <c r="A68" s="184">
        <v>70</v>
      </c>
    </row>
    <row r="69" spans="1:1">
      <c r="A69" s="184">
        <v>77</v>
      </c>
    </row>
    <row r="70" spans="1:1">
      <c r="A70" s="184">
        <v>48</v>
      </c>
    </row>
    <row r="71" spans="1:1">
      <c r="A71" s="184">
        <v>44</v>
      </c>
    </row>
    <row r="72" spans="1:1">
      <c r="A72" s="184">
        <v>110</v>
      </c>
    </row>
    <row r="73" spans="1:1">
      <c r="A73" s="184">
        <v>54</v>
      </c>
    </row>
    <row r="74" spans="1:1">
      <c r="A74" s="184">
        <v>320</v>
      </c>
    </row>
    <row r="75" spans="1:1">
      <c r="A75" s="184">
        <v>41</v>
      </c>
    </row>
    <row r="76" spans="1:1">
      <c r="A76" s="184">
        <v>78</v>
      </c>
    </row>
    <row r="77" spans="1:1">
      <c r="A77" s="184">
        <v>87</v>
      </c>
    </row>
    <row r="78" spans="1:1">
      <c r="A78" s="184">
        <v>160</v>
      </c>
    </row>
    <row r="79" spans="1:1">
      <c r="A79" s="184">
        <v>48</v>
      </c>
    </row>
    <row r="80" spans="1:1">
      <c r="A80" s="184">
        <v>242</v>
      </c>
    </row>
    <row r="81" spans="1:1">
      <c r="A81" s="184">
        <v>92</v>
      </c>
    </row>
    <row r="82" spans="1:1">
      <c r="A82" s="184">
        <v>332</v>
      </c>
    </row>
    <row r="83" spans="1:1">
      <c r="A83" s="184">
        <v>401</v>
      </c>
    </row>
    <row r="84" spans="1:1">
      <c r="A84" s="184">
        <v>56</v>
      </c>
    </row>
    <row r="85" spans="1:1">
      <c r="A85" s="184">
        <v>2049</v>
      </c>
    </row>
    <row r="86" spans="1:1">
      <c r="A86" s="184">
        <v>110</v>
      </c>
    </row>
    <row r="87" spans="1:1">
      <c r="A87" s="184">
        <v>70</v>
      </c>
    </row>
    <row r="88" spans="1:1">
      <c r="A88" s="184">
        <v>167</v>
      </c>
    </row>
    <row r="89" spans="1:1">
      <c r="A89" s="184">
        <v>109</v>
      </c>
    </row>
    <row r="90" spans="1:1">
      <c r="A90" s="184">
        <v>1261</v>
      </c>
    </row>
    <row r="91" spans="1:1">
      <c r="A91" s="184">
        <v>100</v>
      </c>
    </row>
    <row r="92" spans="1:1">
      <c r="A92" s="184">
        <v>70</v>
      </c>
    </row>
    <row r="93" spans="1:1">
      <c r="A93" s="184">
        <v>178</v>
      </c>
    </row>
    <row r="94" spans="1:1">
      <c r="A94" s="184">
        <v>166</v>
      </c>
    </row>
    <row r="95" spans="1:1">
      <c r="A95" s="184">
        <v>50</v>
      </c>
    </row>
    <row r="96" spans="1:1">
      <c r="A96" s="184">
        <v>62</v>
      </c>
    </row>
    <row r="97" spans="1:1">
      <c r="A97" s="184">
        <v>90</v>
      </c>
    </row>
    <row r="98" spans="1:1">
      <c r="A98" s="184">
        <v>92</v>
      </c>
    </row>
    <row r="99" spans="1:1">
      <c r="A99" s="184">
        <v>120</v>
      </c>
    </row>
    <row r="100" spans="1:1">
      <c r="A100" s="184">
        <v>43</v>
      </c>
    </row>
    <row r="101" spans="1:1">
      <c r="A101" s="184">
        <v>801</v>
      </c>
    </row>
    <row r="102" spans="1:1">
      <c r="A102" s="184">
        <v>56</v>
      </c>
    </row>
    <row r="103" spans="1:1">
      <c r="A103" s="184">
        <v>50</v>
      </c>
    </row>
    <row r="104" spans="1:1">
      <c r="A104" s="184">
        <v>68</v>
      </c>
    </row>
    <row r="105" spans="1:1">
      <c r="A105" s="184">
        <v>153</v>
      </c>
    </row>
    <row r="106" spans="1:1">
      <c r="A106" s="184">
        <v>47</v>
      </c>
    </row>
    <row r="107" spans="1:1">
      <c r="A107" s="184">
        <v>62</v>
      </c>
    </row>
    <row r="108" spans="1:1">
      <c r="A108" s="184">
        <v>49</v>
      </c>
    </row>
    <row r="109" spans="1:1">
      <c r="A109" s="184">
        <v>68</v>
      </c>
    </row>
    <row r="110" spans="1:1">
      <c r="A110" s="184">
        <v>244</v>
      </c>
    </row>
    <row r="111" spans="1:1">
      <c r="A111" s="184">
        <v>237</v>
      </c>
    </row>
    <row r="112" spans="1:1">
      <c r="A112" s="184">
        <v>66</v>
      </c>
    </row>
    <row r="113" spans="1:1">
      <c r="A113" s="184">
        <v>50</v>
      </c>
    </row>
    <row r="114" spans="1:1">
      <c r="A114" s="184">
        <v>54</v>
      </c>
    </row>
    <row r="115" spans="1:1">
      <c r="A115" s="184">
        <v>50</v>
      </c>
    </row>
    <row r="116" spans="1:1">
      <c r="A116" s="184">
        <v>154</v>
      </c>
    </row>
    <row r="117" spans="1:1">
      <c r="A117" s="184">
        <v>268</v>
      </c>
    </row>
    <row r="118" spans="1:1">
      <c r="A118" s="184">
        <v>115</v>
      </c>
    </row>
    <row r="119" spans="1:1">
      <c r="A119" s="184">
        <v>330</v>
      </c>
    </row>
    <row r="120" spans="1:1">
      <c r="A120" s="184">
        <v>72</v>
      </c>
    </row>
    <row r="121" spans="1:1">
      <c r="A121" s="184">
        <v>201</v>
      </c>
    </row>
    <row r="122" spans="1:1">
      <c r="A122" s="184">
        <v>840</v>
      </c>
    </row>
    <row r="123" spans="1:1">
      <c r="A123" s="184">
        <v>138</v>
      </c>
    </row>
    <row r="124" spans="1:1">
      <c r="A124" s="184">
        <v>116</v>
      </c>
    </row>
    <row r="125" spans="1:1">
      <c r="A125" s="184">
        <v>138</v>
      </c>
    </row>
    <row r="126" spans="1:1">
      <c r="A126" s="184">
        <v>73</v>
      </c>
    </row>
    <row r="127" spans="1:1">
      <c r="A127" s="184">
        <v>35</v>
      </c>
    </row>
    <row r="128" spans="1:1">
      <c r="A128" s="184">
        <v>92</v>
      </c>
    </row>
    <row r="129" spans="1:1">
      <c r="A129" s="184">
        <v>48</v>
      </c>
    </row>
    <row r="130" spans="1:1">
      <c r="A130" s="184">
        <v>535</v>
      </c>
    </row>
    <row r="131" spans="1:1">
      <c r="A131" s="184">
        <v>141</v>
      </c>
    </row>
    <row r="132" spans="1:1">
      <c r="A132" s="184">
        <v>548</v>
      </c>
    </row>
    <row r="133" spans="1:1">
      <c r="A133" s="184">
        <v>39</v>
      </c>
    </row>
    <row r="134" spans="1:1">
      <c r="A134" s="184">
        <v>40</v>
      </c>
    </row>
    <row r="135" spans="1:1">
      <c r="A135" s="184">
        <v>48</v>
      </c>
    </row>
    <row r="136" spans="1:1">
      <c r="A136" s="184">
        <v>30</v>
      </c>
    </row>
    <row r="137" spans="1:1">
      <c r="A137" s="184">
        <v>529</v>
      </c>
    </row>
    <row r="138" spans="1:1">
      <c r="A138" s="184">
        <v>50</v>
      </c>
    </row>
    <row r="139" spans="1:1">
      <c r="A139" s="184">
        <v>106</v>
      </c>
    </row>
    <row r="140" spans="1:1">
      <c r="A140" s="184">
        <v>101</v>
      </c>
    </row>
    <row r="141" spans="1:1">
      <c r="A141" s="184">
        <v>96</v>
      </c>
    </row>
    <row r="142" spans="1:1">
      <c r="A142" s="184">
        <v>135</v>
      </c>
    </row>
    <row r="143" spans="1:1">
      <c r="A143" s="184">
        <v>106</v>
      </c>
    </row>
    <row r="144" spans="1:1">
      <c r="A144" s="184">
        <v>89</v>
      </c>
    </row>
    <row r="145" spans="1:1">
      <c r="A145" s="184">
        <v>120</v>
      </c>
    </row>
    <row r="146" spans="1:1">
      <c r="A146" s="184">
        <v>138</v>
      </c>
    </row>
    <row r="147" spans="1:1">
      <c r="A147" s="184">
        <v>145</v>
      </c>
    </row>
    <row r="148" spans="1:1">
      <c r="A148" s="184">
        <v>60</v>
      </c>
    </row>
    <row r="149" spans="1:1">
      <c r="A149" s="184">
        <v>90</v>
      </c>
    </row>
    <row r="150" spans="1:1">
      <c r="A150" s="184">
        <v>102</v>
      </c>
    </row>
    <row r="151" spans="1:1">
      <c r="A151" s="184">
        <v>30</v>
      </c>
    </row>
    <row r="152" spans="1:1">
      <c r="A152" s="184">
        <v>46</v>
      </c>
    </row>
    <row r="153" spans="1:1">
      <c r="A153" s="184">
        <v>81</v>
      </c>
    </row>
    <row r="154" spans="1:1">
      <c r="A154" s="184">
        <v>123</v>
      </c>
    </row>
    <row r="155" spans="1:1">
      <c r="A155" s="184">
        <v>97</v>
      </c>
    </row>
    <row r="156" spans="1:1">
      <c r="A156" s="184">
        <v>397</v>
      </c>
    </row>
    <row r="157" spans="1:1">
      <c r="A157" s="184">
        <v>68</v>
      </c>
    </row>
    <row r="158" spans="1:1">
      <c r="A158" s="184">
        <v>105</v>
      </c>
    </row>
    <row r="159" spans="1:1">
      <c r="A159" s="184">
        <v>169</v>
      </c>
    </row>
    <row r="160" spans="1:1">
      <c r="A160" s="184">
        <v>115</v>
      </c>
    </row>
    <row r="161" spans="1:1">
      <c r="A161" s="184">
        <v>117</v>
      </c>
    </row>
    <row r="162" spans="1:1">
      <c r="A162" s="184">
        <v>57</v>
      </c>
    </row>
    <row r="163" spans="1:1">
      <c r="A163" s="184">
        <v>353</v>
      </c>
    </row>
    <row r="164" spans="1:1">
      <c r="A164" s="184">
        <v>81</v>
      </c>
    </row>
    <row r="165" spans="1:1">
      <c r="A165" s="184">
        <v>294</v>
      </c>
    </row>
    <row r="166" spans="1:1">
      <c r="A166" s="184">
        <v>84</v>
      </c>
    </row>
    <row r="167" spans="1:1">
      <c r="A167" s="184">
        <v>68</v>
      </c>
    </row>
    <row r="168" spans="1:1">
      <c r="A168" s="184">
        <v>123</v>
      </c>
    </row>
    <row r="169" spans="1:1">
      <c r="A169" s="184">
        <v>60</v>
      </c>
    </row>
    <row r="170" spans="1:1">
      <c r="A170" s="184">
        <v>150</v>
      </c>
    </row>
    <row r="171" spans="1:1">
      <c r="A171" s="184">
        <v>799</v>
      </c>
    </row>
    <row r="172" spans="1:1">
      <c r="A172" s="184">
        <v>140</v>
      </c>
    </row>
    <row r="173" spans="1:1">
      <c r="A173" s="184">
        <v>126</v>
      </c>
    </row>
    <row r="174" spans="1:1">
      <c r="A174" s="184">
        <v>302</v>
      </c>
    </row>
  </sheetData>
  <phoneticPr fontId="7" type="noConversion"/>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M19"/>
  <sheetViews>
    <sheetView workbookViewId="0">
      <selection activeCell="F38" sqref="F38"/>
    </sheetView>
  </sheetViews>
  <sheetFormatPr defaultRowHeight="12.5"/>
  <cols>
    <col min="1" max="1" width="14.54296875" customWidth="1"/>
    <col min="2" max="2" width="14.1796875" customWidth="1"/>
    <col min="3" max="3" width="13" customWidth="1"/>
    <col min="4" max="4" width="12" customWidth="1"/>
    <col min="5" max="6" width="14" customWidth="1"/>
    <col min="7" max="8" width="15.81640625" customWidth="1"/>
    <col min="9" max="9" width="14.81640625" customWidth="1"/>
    <col min="10" max="11" width="14.54296875" customWidth="1"/>
    <col min="12" max="12" width="18" customWidth="1"/>
    <col min="13" max="13" width="13.81640625" customWidth="1"/>
    <col min="14" max="14" width="14.1796875" customWidth="1"/>
  </cols>
  <sheetData>
    <row r="1" spans="1:13" ht="13">
      <c r="A1" s="334" t="s">
        <v>143</v>
      </c>
      <c r="B1" s="331" t="s">
        <v>604</v>
      </c>
      <c r="C1" s="332"/>
      <c r="D1" s="332"/>
      <c r="E1" s="332"/>
      <c r="F1" s="228"/>
      <c r="G1" s="1"/>
      <c r="H1" s="1"/>
      <c r="I1" s="1"/>
      <c r="J1" s="1"/>
      <c r="K1" s="138"/>
    </row>
    <row r="2" spans="1:13" ht="26">
      <c r="A2" s="353"/>
      <c r="B2" s="223" t="s">
        <v>608</v>
      </c>
      <c r="C2" s="223" t="s">
        <v>602</v>
      </c>
      <c r="D2" s="226" t="s">
        <v>622</v>
      </c>
      <c r="E2" s="230" t="s">
        <v>611</v>
      </c>
      <c r="F2" s="227" t="s">
        <v>594</v>
      </c>
      <c r="G2" s="226" t="s">
        <v>623</v>
      </c>
      <c r="H2" s="226" t="s">
        <v>624</v>
      </c>
      <c r="I2" s="226" t="s">
        <v>625</v>
      </c>
      <c r="J2" s="226" t="s">
        <v>626</v>
      </c>
      <c r="K2" s="226" t="s">
        <v>628</v>
      </c>
      <c r="L2" s="226" t="s">
        <v>613</v>
      </c>
      <c r="M2" s="226" t="s">
        <v>627</v>
      </c>
    </row>
    <row r="3" spans="1:13" ht="13">
      <c r="A3" s="223" t="s">
        <v>603</v>
      </c>
      <c r="B3" s="224"/>
      <c r="C3" s="224">
        <v>11250</v>
      </c>
      <c r="D3" s="6" t="s">
        <v>615</v>
      </c>
      <c r="E3" s="236"/>
      <c r="F3" s="227" t="s">
        <v>603</v>
      </c>
      <c r="G3" s="225">
        <v>5721903.5199999996</v>
      </c>
      <c r="H3" s="186">
        <v>15212</v>
      </c>
      <c r="I3" s="225">
        <v>4911112.59</v>
      </c>
      <c r="J3" s="186">
        <v>6299</v>
      </c>
      <c r="K3" s="182">
        <f>I3/(I3+G3)</f>
        <v>0.46187389722670136</v>
      </c>
      <c r="L3" s="228">
        <f>7898+322+36</f>
        <v>8256</v>
      </c>
      <c r="M3" s="229">
        <f>(G3+I3)/L3</f>
        <v>1287.9137730135658</v>
      </c>
    </row>
    <row r="4" spans="1:13" ht="13">
      <c r="A4" s="223" t="s">
        <v>464</v>
      </c>
      <c r="B4" s="224">
        <v>70000</v>
      </c>
      <c r="C4" s="1"/>
      <c r="D4" s="1"/>
      <c r="E4" s="237"/>
      <c r="F4" s="227" t="s">
        <v>464</v>
      </c>
      <c r="G4" s="228">
        <v>180793.35</v>
      </c>
      <c r="H4" s="228">
        <v>400</v>
      </c>
      <c r="I4" s="228">
        <v>67664.179999999993</v>
      </c>
      <c r="J4" s="228">
        <v>15</v>
      </c>
      <c r="K4" s="182">
        <f t="shared" ref="K4:K11" si="0">I4/(I4+G4)</f>
        <v>0.27233700665059335</v>
      </c>
      <c r="L4" s="228">
        <v>275</v>
      </c>
      <c r="M4" s="229">
        <f t="shared" ref="M4:M11" si="1">(G4+I4)/L4</f>
        <v>903.48192727272726</v>
      </c>
    </row>
    <row r="5" spans="1:13" ht="13">
      <c r="A5" s="223" t="s">
        <v>468</v>
      </c>
      <c r="B5" s="224">
        <v>136000</v>
      </c>
      <c r="C5" s="1"/>
      <c r="D5" s="1"/>
      <c r="E5" s="237"/>
      <c r="F5" s="227" t="s">
        <v>468</v>
      </c>
      <c r="G5" s="228">
        <v>501141</v>
      </c>
      <c r="H5" s="228">
        <v>366</v>
      </c>
      <c r="I5" s="228">
        <v>148207</v>
      </c>
      <c r="J5" s="228">
        <v>382</v>
      </c>
      <c r="K5" s="182">
        <f t="shared" si="0"/>
        <v>0.22823971121802178</v>
      </c>
      <c r="L5" s="228">
        <v>213</v>
      </c>
      <c r="M5" s="229">
        <f t="shared" si="1"/>
        <v>3048.5821596244132</v>
      </c>
    </row>
    <row r="6" spans="1:13" ht="13">
      <c r="A6" s="223" t="s">
        <v>489</v>
      </c>
      <c r="B6" s="224">
        <v>210000</v>
      </c>
      <c r="C6" s="224">
        <v>7600</v>
      </c>
      <c r="D6" s="6" t="s">
        <v>614</v>
      </c>
      <c r="E6" s="238" t="s">
        <v>616</v>
      </c>
      <c r="F6" s="227" t="s">
        <v>489</v>
      </c>
      <c r="G6" s="225">
        <v>128043.48</v>
      </c>
      <c r="H6" s="228">
        <v>253</v>
      </c>
      <c r="I6" s="225">
        <v>171501.92</v>
      </c>
      <c r="J6" s="228">
        <v>129</v>
      </c>
      <c r="K6" s="182">
        <f t="shared" si="0"/>
        <v>0.57254065660831377</v>
      </c>
      <c r="L6" s="228">
        <f>1+12+52+73+4+13</f>
        <v>155</v>
      </c>
      <c r="M6" s="229">
        <f t="shared" si="1"/>
        <v>1932.5509677419357</v>
      </c>
    </row>
    <row r="7" spans="1:13" ht="13">
      <c r="A7" s="223" t="s">
        <v>470</v>
      </c>
      <c r="B7" s="224">
        <v>108000</v>
      </c>
      <c r="C7" s="1"/>
      <c r="D7" s="1"/>
      <c r="E7" s="237"/>
      <c r="F7" s="227" t="s">
        <v>470</v>
      </c>
      <c r="G7" s="225">
        <v>257446.67</v>
      </c>
      <c r="H7" s="228">
        <v>351</v>
      </c>
      <c r="I7" s="225">
        <v>298487.73</v>
      </c>
      <c r="J7" s="228">
        <v>222</v>
      </c>
      <c r="K7" s="182">
        <f t="shared" si="0"/>
        <v>0.53691178311685694</v>
      </c>
      <c r="L7" s="228">
        <v>312</v>
      </c>
      <c r="M7" s="229">
        <f t="shared" si="1"/>
        <v>1781.8410256410257</v>
      </c>
    </row>
    <row r="8" spans="1:13" ht="13">
      <c r="A8" s="223" t="s">
        <v>472</v>
      </c>
      <c r="B8" s="224">
        <v>96000</v>
      </c>
      <c r="C8" s="1"/>
      <c r="D8" s="6" t="s">
        <v>612</v>
      </c>
      <c r="E8" s="237"/>
      <c r="F8" s="227" t="s">
        <v>472</v>
      </c>
      <c r="G8" s="228">
        <v>135326</v>
      </c>
      <c r="H8" s="228">
        <v>178</v>
      </c>
      <c r="I8" s="228">
        <v>121511</v>
      </c>
      <c r="J8" s="228">
        <v>46</v>
      </c>
      <c r="K8" s="182">
        <f t="shared" si="0"/>
        <v>0.47310551049887672</v>
      </c>
      <c r="L8" s="227">
        <f>145+16</f>
        <v>161</v>
      </c>
      <c r="M8" s="229">
        <f t="shared" si="1"/>
        <v>1595.2608695652175</v>
      </c>
    </row>
    <row r="9" spans="1:13" ht="13">
      <c r="A9" s="223" t="s">
        <v>474</v>
      </c>
      <c r="B9" s="224">
        <v>19000</v>
      </c>
      <c r="C9" s="6" t="s">
        <v>610</v>
      </c>
      <c r="D9" s="6" t="s">
        <v>609</v>
      </c>
      <c r="E9" s="237"/>
      <c r="F9" s="227" t="s">
        <v>474</v>
      </c>
      <c r="G9" s="225">
        <v>387611.5</v>
      </c>
      <c r="H9" s="228">
        <v>516</v>
      </c>
      <c r="I9" s="225">
        <v>586120.14</v>
      </c>
      <c r="J9" s="228">
        <v>554</v>
      </c>
      <c r="K9" s="182">
        <f t="shared" si="0"/>
        <v>0.60193190394840201</v>
      </c>
      <c r="L9" s="228">
        <v>512</v>
      </c>
      <c r="M9" s="229">
        <f t="shared" si="1"/>
        <v>1901.819609375</v>
      </c>
    </row>
    <row r="10" spans="1:13" ht="13">
      <c r="A10" s="223" t="s">
        <v>475</v>
      </c>
      <c r="B10" s="224">
        <v>27368</v>
      </c>
      <c r="C10" s="6" t="s">
        <v>605</v>
      </c>
      <c r="D10" s="6" t="s">
        <v>606</v>
      </c>
      <c r="E10" s="238" t="s">
        <v>607</v>
      </c>
      <c r="F10" s="227" t="s">
        <v>475</v>
      </c>
      <c r="G10" s="225">
        <v>111757.36</v>
      </c>
      <c r="H10" s="228">
        <v>354</v>
      </c>
      <c r="I10" s="225">
        <v>247785</v>
      </c>
      <c r="J10" s="228">
        <v>908</v>
      </c>
      <c r="K10" s="182">
        <f t="shared" si="0"/>
        <v>0.6891677520278835</v>
      </c>
      <c r="L10" s="228">
        <v>125</v>
      </c>
      <c r="M10" s="229">
        <f t="shared" si="1"/>
        <v>2876.3388799999998</v>
      </c>
    </row>
    <row r="11" spans="1:13" ht="13">
      <c r="A11" s="231" t="s">
        <v>76</v>
      </c>
      <c r="B11" s="83"/>
      <c r="C11" s="83"/>
      <c r="D11" s="83"/>
      <c r="E11" s="83"/>
      <c r="F11" s="227" t="s">
        <v>76</v>
      </c>
      <c r="G11" s="228">
        <f>SUM(G4:G10)</f>
        <v>1702119.36</v>
      </c>
      <c r="H11" s="228">
        <f t="shared" ref="H11:L11" si="2">SUM(H4:H10)</f>
        <v>2418</v>
      </c>
      <c r="I11" s="228">
        <f t="shared" si="2"/>
        <v>1641276.97</v>
      </c>
      <c r="J11" s="228">
        <f t="shared" si="2"/>
        <v>2256</v>
      </c>
      <c r="K11" s="182">
        <f t="shared" si="0"/>
        <v>0.49090111012953103</v>
      </c>
      <c r="L11" s="228">
        <f t="shared" si="2"/>
        <v>1753</v>
      </c>
      <c r="M11" s="229">
        <f t="shared" si="1"/>
        <v>1907.2426297775244</v>
      </c>
    </row>
    <row r="19" spans="7:7" ht="14">
      <c r="G19" s="232"/>
    </row>
  </sheetData>
  <mergeCells count="2">
    <mergeCell ref="B1:E1"/>
    <mergeCell ref="A1:A2"/>
  </mergeCells>
  <phoneticPr fontId="7" type="noConversion"/>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W424"/>
  <sheetViews>
    <sheetView topLeftCell="C112" workbookViewId="0">
      <selection activeCell="F38" sqref="F38"/>
    </sheetView>
  </sheetViews>
  <sheetFormatPr defaultRowHeight="12.5"/>
  <cols>
    <col min="1" max="1" width="13.453125" customWidth="1"/>
    <col min="2" max="2" width="13.1796875" customWidth="1"/>
    <col min="3" max="3" width="10" customWidth="1"/>
    <col min="4" max="4" width="14.453125" customWidth="1"/>
    <col min="5" max="5" width="16" customWidth="1"/>
    <col min="6" max="6" width="14.453125" customWidth="1"/>
    <col min="7" max="7" width="22.54296875" customWidth="1"/>
    <col min="8" max="9" width="12.81640625" customWidth="1"/>
    <col min="10" max="10" width="23.81640625" customWidth="1"/>
    <col min="11" max="11" width="13" bestFit="1" customWidth="1"/>
  </cols>
  <sheetData>
    <row r="1" spans="1:23" ht="52">
      <c r="A1" s="105"/>
      <c r="B1" s="7" t="s">
        <v>305</v>
      </c>
      <c r="C1" s="116" t="s">
        <v>306</v>
      </c>
      <c r="D1" s="119" t="s">
        <v>383</v>
      </c>
      <c r="E1" s="135"/>
      <c r="F1" s="122" t="s">
        <v>354</v>
      </c>
      <c r="G1" s="122" t="s">
        <v>353</v>
      </c>
      <c r="H1" s="119" t="s">
        <v>356</v>
      </c>
      <c r="I1" s="119" t="s">
        <v>357</v>
      </c>
      <c r="J1" s="120" t="s">
        <v>355</v>
      </c>
      <c r="K1" s="119" t="s">
        <v>361</v>
      </c>
      <c r="L1" s="119" t="s">
        <v>360</v>
      </c>
    </row>
    <row r="2" spans="1:23" ht="13">
      <c r="A2" s="113" t="s">
        <v>275</v>
      </c>
      <c r="B2" s="3"/>
      <c r="C2" s="117">
        <v>0.42330000000000001</v>
      </c>
      <c r="D2" s="117">
        <v>0.33229999999999998</v>
      </c>
      <c r="E2" s="362"/>
      <c r="F2" s="330">
        <v>227.4</v>
      </c>
      <c r="G2" s="332">
        <v>3695.3</v>
      </c>
      <c r="H2" s="332">
        <v>50</v>
      </c>
      <c r="I2" s="354">
        <f>J68</f>
        <v>3.1078969957081544</v>
      </c>
      <c r="J2" s="361">
        <f>INT(H2/I2)</f>
        <v>16</v>
      </c>
      <c r="K2" s="354">
        <f>J68/J94</f>
        <v>0.70630960965580558</v>
      </c>
      <c r="L2" s="354">
        <f>J2*H96*K2</f>
        <v>2.8025889911956781</v>
      </c>
    </row>
    <row r="3" spans="1:23" ht="13">
      <c r="A3" s="113" t="s">
        <v>276</v>
      </c>
      <c r="B3" s="3"/>
      <c r="C3" s="117">
        <v>0.35320000000000001</v>
      </c>
      <c r="D3" s="117">
        <v>0.4879</v>
      </c>
      <c r="E3" s="362"/>
      <c r="F3" s="330"/>
      <c r="G3" s="332"/>
      <c r="H3" s="332"/>
      <c r="I3" s="332"/>
      <c r="J3" s="361"/>
      <c r="K3" s="354"/>
      <c r="L3" s="354"/>
    </row>
    <row r="4" spans="1:23" ht="13">
      <c r="A4" s="113" t="s">
        <v>277</v>
      </c>
      <c r="B4" s="7"/>
      <c r="C4" s="117">
        <v>0.1686</v>
      </c>
      <c r="D4" s="117">
        <v>0.26229999999999998</v>
      </c>
      <c r="E4" s="362"/>
      <c r="F4" s="330"/>
      <c r="G4" s="332"/>
      <c r="H4" s="332"/>
      <c r="I4" s="332"/>
      <c r="J4" s="361"/>
      <c r="K4" s="354"/>
      <c r="L4" s="354"/>
    </row>
    <row r="5" spans="1:23" ht="26">
      <c r="A5" s="113" t="s">
        <v>309</v>
      </c>
      <c r="B5" s="114"/>
      <c r="C5" s="117">
        <f>C6-C2-C3-C4</f>
        <v>5.4899999999999977E-2</v>
      </c>
      <c r="D5" s="118">
        <v>0.25</v>
      </c>
      <c r="E5" s="362"/>
      <c r="F5" s="330"/>
      <c r="G5" s="332"/>
      <c r="H5" s="332"/>
      <c r="I5" s="332"/>
      <c r="J5" s="361"/>
      <c r="K5" s="354"/>
      <c r="L5" s="354"/>
    </row>
    <row r="6" spans="1:23" ht="13">
      <c r="A6" s="113" t="s">
        <v>307</v>
      </c>
      <c r="B6" s="114"/>
      <c r="C6" s="118">
        <v>1</v>
      </c>
      <c r="D6" s="113"/>
      <c r="E6" s="119"/>
      <c r="F6" s="119"/>
      <c r="G6" s="1"/>
      <c r="H6" s="1"/>
      <c r="I6" s="1"/>
      <c r="J6" s="1"/>
      <c r="K6" s="1"/>
      <c r="L6" s="1"/>
    </row>
    <row r="7" spans="1:23" ht="13">
      <c r="A7" s="107"/>
      <c r="B7" s="108"/>
      <c r="C7" s="137"/>
      <c r="D7" s="107"/>
      <c r="E7" s="107"/>
      <c r="F7" s="107"/>
      <c r="G7" s="138"/>
      <c r="H7" s="138"/>
      <c r="I7" s="138"/>
      <c r="J7" s="138"/>
      <c r="K7" s="138"/>
      <c r="L7" s="138"/>
    </row>
    <row r="8" spans="1:23" ht="13">
      <c r="A8" s="86"/>
      <c r="B8" s="82"/>
      <c r="C8" s="86"/>
      <c r="D8" s="86"/>
      <c r="E8" s="86"/>
      <c r="F8" s="86"/>
    </row>
    <row r="9" spans="1:23" ht="13">
      <c r="A9" s="358" t="s">
        <v>364</v>
      </c>
      <c r="B9" s="359"/>
      <c r="C9" s="359"/>
      <c r="D9" s="359"/>
      <c r="E9" s="359"/>
      <c r="F9" s="359"/>
      <c r="G9" s="359"/>
      <c r="H9" s="359"/>
      <c r="I9" s="359"/>
      <c r="J9" s="359"/>
      <c r="K9" s="359"/>
      <c r="L9" s="359"/>
      <c r="M9" s="359"/>
      <c r="N9" s="359"/>
      <c r="O9" s="359"/>
      <c r="P9" s="359"/>
      <c r="Q9" s="359"/>
      <c r="R9" s="359"/>
      <c r="S9" s="359"/>
      <c r="T9" s="359"/>
      <c r="U9" s="359"/>
      <c r="V9" s="359"/>
      <c r="W9" s="360"/>
    </row>
    <row r="10" spans="1:23" ht="15">
      <c r="A10" s="33" t="s">
        <v>0</v>
      </c>
      <c r="B10" s="33" t="s">
        <v>6</v>
      </c>
      <c r="C10" s="33" t="s">
        <v>220</v>
      </c>
      <c r="D10" s="33" t="s">
        <v>221</v>
      </c>
      <c r="E10" s="33" t="s">
        <v>222</v>
      </c>
      <c r="F10" s="33" t="s">
        <v>223</v>
      </c>
      <c r="G10" s="33" t="s">
        <v>224</v>
      </c>
      <c r="H10" s="33" t="s">
        <v>225</v>
      </c>
      <c r="I10" s="33" t="s">
        <v>226</v>
      </c>
      <c r="J10" s="33" t="s">
        <v>227</v>
      </c>
      <c r="K10" s="33" t="s">
        <v>228</v>
      </c>
      <c r="L10" s="33" t="s">
        <v>229</v>
      </c>
      <c r="M10" s="33" t="s">
        <v>230</v>
      </c>
      <c r="N10" s="33" t="s">
        <v>231</v>
      </c>
      <c r="O10" s="33" t="s">
        <v>232</v>
      </c>
      <c r="P10" s="33" t="s">
        <v>233</v>
      </c>
      <c r="Q10" s="33" t="s">
        <v>234</v>
      </c>
      <c r="R10" s="33" t="s">
        <v>235</v>
      </c>
      <c r="S10" s="33" t="s">
        <v>236</v>
      </c>
      <c r="T10" s="33" t="s">
        <v>237</v>
      </c>
      <c r="U10" s="33" t="s">
        <v>238</v>
      </c>
      <c r="V10" s="33" t="s">
        <v>239</v>
      </c>
      <c r="W10" s="33" t="s">
        <v>240</v>
      </c>
    </row>
    <row r="11" spans="1:23" ht="13">
      <c r="A11" s="3">
        <v>1</v>
      </c>
      <c r="B11" s="3" t="s">
        <v>275</v>
      </c>
      <c r="C11" s="118">
        <v>0.3</v>
      </c>
      <c r="D11" s="118">
        <v>0.5</v>
      </c>
      <c r="E11" s="118">
        <v>0.8</v>
      </c>
      <c r="F11" s="118">
        <v>0.9</v>
      </c>
      <c r="G11" s="118">
        <v>0.95</v>
      </c>
      <c r="H11" s="118">
        <v>0.95</v>
      </c>
      <c r="I11" s="118">
        <v>0.95</v>
      </c>
      <c r="J11" s="118">
        <v>0.95</v>
      </c>
      <c r="K11" s="118">
        <v>0.95</v>
      </c>
      <c r="L11" s="118">
        <v>0.95</v>
      </c>
      <c r="M11" s="118">
        <v>0.95</v>
      </c>
      <c r="N11" s="118">
        <v>0.95</v>
      </c>
      <c r="O11" s="118">
        <v>0.95</v>
      </c>
      <c r="P11" s="118">
        <v>0.95</v>
      </c>
      <c r="Q11" s="118">
        <v>0.95</v>
      </c>
      <c r="R11" s="118">
        <v>0.95</v>
      </c>
      <c r="S11" s="118">
        <v>0.95</v>
      </c>
      <c r="T11" s="118">
        <v>0.95</v>
      </c>
      <c r="U11" s="118">
        <v>0.95</v>
      </c>
      <c r="V11" s="118">
        <v>0.95</v>
      </c>
      <c r="W11" s="118">
        <v>0.95</v>
      </c>
    </row>
    <row r="12" spans="1:23" ht="13">
      <c r="A12" s="3">
        <v>2</v>
      </c>
      <c r="B12" s="3" t="s">
        <v>276</v>
      </c>
      <c r="C12" s="118">
        <v>0.3</v>
      </c>
      <c r="D12" s="118">
        <v>0.4</v>
      </c>
      <c r="E12" s="118">
        <v>0.6</v>
      </c>
      <c r="F12" s="118">
        <v>0.8</v>
      </c>
      <c r="G12" s="118">
        <v>0.95</v>
      </c>
      <c r="H12" s="118">
        <v>0.95</v>
      </c>
      <c r="I12" s="118">
        <v>0.95</v>
      </c>
      <c r="J12" s="118">
        <v>0.95</v>
      </c>
      <c r="K12" s="118">
        <v>0.95</v>
      </c>
      <c r="L12" s="118">
        <v>0.95</v>
      </c>
      <c r="M12" s="118">
        <v>0.95</v>
      </c>
      <c r="N12" s="118">
        <v>0.95</v>
      </c>
      <c r="O12" s="118">
        <v>0.95</v>
      </c>
      <c r="P12" s="118">
        <v>0.95</v>
      </c>
      <c r="Q12" s="118">
        <v>0.95</v>
      </c>
      <c r="R12" s="118">
        <v>0.95</v>
      </c>
      <c r="S12" s="118">
        <v>0.95</v>
      </c>
      <c r="T12" s="118">
        <v>0.95</v>
      </c>
      <c r="U12" s="118">
        <v>0.95</v>
      </c>
      <c r="V12" s="118">
        <v>0.95</v>
      </c>
      <c r="W12" s="118">
        <v>0.95</v>
      </c>
    </row>
    <row r="13" spans="1:23" ht="13">
      <c r="A13" s="3">
        <v>3</v>
      </c>
      <c r="B13" s="3" t="s">
        <v>277</v>
      </c>
      <c r="C13" s="118">
        <v>0.6</v>
      </c>
      <c r="D13" s="118">
        <v>0.8</v>
      </c>
      <c r="E13" s="118">
        <v>0.9</v>
      </c>
      <c r="F13" s="118">
        <v>0.95</v>
      </c>
      <c r="G13" s="118">
        <v>0.95</v>
      </c>
      <c r="H13" s="118">
        <v>0.95</v>
      </c>
      <c r="I13" s="118">
        <v>0.95</v>
      </c>
      <c r="J13" s="118">
        <v>0.95</v>
      </c>
      <c r="K13" s="118">
        <v>0.95</v>
      </c>
      <c r="L13" s="118">
        <v>0.95</v>
      </c>
      <c r="M13" s="118">
        <v>0.95</v>
      </c>
      <c r="N13" s="118">
        <v>0.95</v>
      </c>
      <c r="O13" s="118">
        <v>0.95</v>
      </c>
      <c r="P13" s="118">
        <v>0.95</v>
      </c>
      <c r="Q13" s="118">
        <v>0.95</v>
      </c>
      <c r="R13" s="118">
        <v>0.95</v>
      </c>
      <c r="S13" s="118">
        <v>0.95</v>
      </c>
      <c r="T13" s="118">
        <v>0.95</v>
      </c>
      <c r="U13" s="118">
        <v>0.95</v>
      </c>
      <c r="V13" s="118">
        <v>0.95</v>
      </c>
      <c r="W13" s="118">
        <v>0.95</v>
      </c>
    </row>
    <row r="14" spans="1:23" ht="13">
      <c r="A14" s="113">
        <v>4</v>
      </c>
      <c r="B14" s="113" t="s">
        <v>308</v>
      </c>
      <c r="C14" s="118">
        <v>0.2</v>
      </c>
      <c r="D14" s="118">
        <v>0.3</v>
      </c>
      <c r="E14" s="118">
        <v>0.5</v>
      </c>
      <c r="F14" s="118">
        <v>0.8</v>
      </c>
      <c r="G14" s="118">
        <v>0.95</v>
      </c>
      <c r="H14" s="118">
        <v>0.95</v>
      </c>
      <c r="I14" s="118">
        <v>0.95</v>
      </c>
      <c r="J14" s="118">
        <v>0.95</v>
      </c>
      <c r="K14" s="118">
        <v>0.95</v>
      </c>
      <c r="L14" s="118">
        <v>0.95</v>
      </c>
      <c r="M14" s="118">
        <v>0.95</v>
      </c>
      <c r="N14" s="118">
        <v>0.95</v>
      </c>
      <c r="O14" s="118">
        <v>0.95</v>
      </c>
      <c r="P14" s="118">
        <v>0.95</v>
      </c>
      <c r="Q14" s="118">
        <v>0.95</v>
      </c>
      <c r="R14" s="118">
        <v>0.95</v>
      </c>
      <c r="S14" s="118">
        <v>0.95</v>
      </c>
      <c r="T14" s="118">
        <v>0.95</v>
      </c>
      <c r="U14" s="118">
        <v>0.95</v>
      </c>
      <c r="V14" s="118">
        <v>0.95</v>
      </c>
      <c r="W14" s="118">
        <v>0.95</v>
      </c>
    </row>
    <row r="15" spans="1:23" ht="13">
      <c r="A15" s="3" t="s">
        <v>76</v>
      </c>
      <c r="B15" s="3"/>
      <c r="C15" s="118"/>
      <c r="D15" s="3"/>
      <c r="E15" s="3"/>
      <c r="F15" s="3"/>
      <c r="G15" s="1"/>
      <c r="H15" s="1"/>
      <c r="I15" s="1"/>
      <c r="J15" s="1"/>
      <c r="K15" s="1"/>
      <c r="L15" s="1"/>
      <c r="M15" s="1"/>
      <c r="N15" s="1"/>
      <c r="O15" s="1"/>
      <c r="P15" s="1"/>
      <c r="Q15" s="1"/>
      <c r="R15" s="1"/>
      <c r="S15" s="1"/>
      <c r="T15" s="1"/>
      <c r="U15" s="1"/>
      <c r="V15" s="1"/>
      <c r="W15" s="1"/>
    </row>
    <row r="16" spans="1:23" ht="13">
      <c r="A16" s="358" t="s">
        <v>389</v>
      </c>
      <c r="B16" s="359"/>
      <c r="C16" s="359"/>
      <c r="D16" s="359"/>
      <c r="E16" s="359"/>
      <c r="F16" s="359"/>
      <c r="G16" s="359"/>
      <c r="H16" s="359"/>
      <c r="I16" s="359"/>
      <c r="J16" s="359"/>
      <c r="K16" s="359"/>
      <c r="L16" s="359"/>
      <c r="M16" s="359"/>
      <c r="N16" s="359"/>
      <c r="O16" s="359"/>
      <c r="P16" s="359"/>
      <c r="Q16" s="359"/>
      <c r="R16" s="359"/>
      <c r="S16" s="359"/>
      <c r="T16" s="359"/>
      <c r="U16" s="359"/>
      <c r="V16" s="359"/>
      <c r="W16" s="360"/>
    </row>
    <row r="17" spans="1:23" ht="15">
      <c r="A17" s="33" t="s">
        <v>0</v>
      </c>
      <c r="B17" s="33" t="s">
        <v>6</v>
      </c>
      <c r="C17" s="33" t="s">
        <v>220</v>
      </c>
      <c r="D17" s="33" t="s">
        <v>221</v>
      </c>
      <c r="E17" s="33" t="s">
        <v>222</v>
      </c>
      <c r="F17" s="33" t="s">
        <v>223</v>
      </c>
      <c r="G17" s="33" t="s">
        <v>224</v>
      </c>
      <c r="H17" s="33" t="s">
        <v>225</v>
      </c>
      <c r="I17" s="33" t="s">
        <v>226</v>
      </c>
      <c r="J17" s="33" t="s">
        <v>227</v>
      </c>
      <c r="K17" s="33" t="s">
        <v>228</v>
      </c>
      <c r="L17" s="33" t="s">
        <v>229</v>
      </c>
      <c r="M17" s="33" t="s">
        <v>230</v>
      </c>
      <c r="N17" s="33" t="s">
        <v>231</v>
      </c>
      <c r="O17" s="33" t="s">
        <v>232</v>
      </c>
      <c r="P17" s="33" t="s">
        <v>233</v>
      </c>
      <c r="Q17" s="33" t="s">
        <v>234</v>
      </c>
      <c r="R17" s="33" t="s">
        <v>235</v>
      </c>
      <c r="S17" s="33" t="s">
        <v>236</v>
      </c>
      <c r="T17" s="33" t="s">
        <v>237</v>
      </c>
      <c r="U17" s="33" t="s">
        <v>238</v>
      </c>
      <c r="V17" s="33" t="s">
        <v>239</v>
      </c>
      <c r="W17" s="33" t="s">
        <v>240</v>
      </c>
    </row>
    <row r="18" spans="1:23" ht="13">
      <c r="A18" s="3">
        <v>1</v>
      </c>
      <c r="B18" s="3" t="s">
        <v>275</v>
      </c>
      <c r="C18" s="141"/>
      <c r="D18" s="5">
        <v>0.03</v>
      </c>
      <c r="E18" s="5">
        <v>0.03</v>
      </c>
      <c r="F18" s="5">
        <v>0.03</v>
      </c>
      <c r="G18" s="5">
        <v>0.03</v>
      </c>
      <c r="H18" s="5">
        <v>0.03</v>
      </c>
      <c r="I18" s="5">
        <v>0.03</v>
      </c>
      <c r="J18" s="5">
        <v>0.03</v>
      </c>
      <c r="K18" s="5">
        <v>0.03</v>
      </c>
      <c r="L18" s="5">
        <v>0.03</v>
      </c>
      <c r="M18" s="5">
        <v>0.03</v>
      </c>
      <c r="N18" s="5">
        <v>0.03</v>
      </c>
      <c r="O18" s="5">
        <v>0.03</v>
      </c>
      <c r="P18" s="5">
        <v>0.03</v>
      </c>
      <c r="Q18" s="5">
        <v>0.03</v>
      </c>
      <c r="R18" s="5">
        <v>0.03</v>
      </c>
      <c r="S18" s="5">
        <v>0.03</v>
      </c>
      <c r="T18" s="5">
        <v>0.03</v>
      </c>
      <c r="U18" s="5">
        <v>0.03</v>
      </c>
      <c r="V18" s="5">
        <v>0.03</v>
      </c>
      <c r="W18" s="5">
        <v>0.03</v>
      </c>
    </row>
    <row r="19" spans="1:23" ht="13">
      <c r="A19" s="3">
        <v>2</v>
      </c>
      <c r="B19" s="3" t="s">
        <v>276</v>
      </c>
      <c r="C19" s="141"/>
      <c r="D19" s="5">
        <v>0.03</v>
      </c>
      <c r="E19" s="5">
        <v>0.03</v>
      </c>
      <c r="F19" s="5">
        <v>0.03</v>
      </c>
      <c r="G19" s="5">
        <v>0.03</v>
      </c>
      <c r="H19" s="5">
        <v>0.03</v>
      </c>
      <c r="I19" s="5">
        <v>0.03</v>
      </c>
      <c r="J19" s="5">
        <v>0.03</v>
      </c>
      <c r="K19" s="5">
        <v>0.03</v>
      </c>
      <c r="L19" s="5">
        <v>0.03</v>
      </c>
      <c r="M19" s="5">
        <v>0.03</v>
      </c>
      <c r="N19" s="5">
        <v>0.03</v>
      </c>
      <c r="O19" s="5">
        <v>0.03</v>
      </c>
      <c r="P19" s="5">
        <v>0.03</v>
      </c>
      <c r="Q19" s="5">
        <v>0.03</v>
      </c>
      <c r="R19" s="5">
        <v>0.03</v>
      </c>
      <c r="S19" s="5">
        <v>0.03</v>
      </c>
      <c r="T19" s="5">
        <v>0.03</v>
      </c>
      <c r="U19" s="5">
        <v>0.03</v>
      </c>
      <c r="V19" s="5">
        <v>0.03</v>
      </c>
      <c r="W19" s="5">
        <v>0.03</v>
      </c>
    </row>
    <row r="20" spans="1:23" ht="13">
      <c r="A20" s="3">
        <v>3</v>
      </c>
      <c r="B20" s="3" t="s">
        <v>277</v>
      </c>
      <c r="C20" s="141"/>
      <c r="D20" s="5">
        <v>0.03</v>
      </c>
      <c r="E20" s="5">
        <v>0.03</v>
      </c>
      <c r="F20" s="5">
        <v>0.03</v>
      </c>
      <c r="G20" s="5">
        <v>0.03</v>
      </c>
      <c r="H20" s="5">
        <v>0.03</v>
      </c>
      <c r="I20" s="5">
        <v>0.03</v>
      </c>
      <c r="J20" s="5">
        <v>0.03</v>
      </c>
      <c r="K20" s="5">
        <v>0.03</v>
      </c>
      <c r="L20" s="5">
        <v>0.03</v>
      </c>
      <c r="M20" s="5">
        <v>0.03</v>
      </c>
      <c r="N20" s="5">
        <v>0.03</v>
      </c>
      <c r="O20" s="5">
        <v>0.03</v>
      </c>
      <c r="P20" s="5">
        <v>0.03</v>
      </c>
      <c r="Q20" s="5">
        <v>0.03</v>
      </c>
      <c r="R20" s="5">
        <v>0.03</v>
      </c>
      <c r="S20" s="5">
        <v>0.03</v>
      </c>
      <c r="T20" s="5">
        <v>0.03</v>
      </c>
      <c r="U20" s="5">
        <v>0.03</v>
      </c>
      <c r="V20" s="5">
        <v>0.03</v>
      </c>
      <c r="W20" s="5">
        <v>0.03</v>
      </c>
    </row>
    <row r="21" spans="1:23" ht="13">
      <c r="A21" s="113">
        <v>4</v>
      </c>
      <c r="B21" s="113" t="s">
        <v>308</v>
      </c>
      <c r="C21" s="141"/>
      <c r="D21" s="5">
        <v>0.03</v>
      </c>
      <c r="E21" s="5">
        <v>0.03</v>
      </c>
      <c r="F21" s="5">
        <v>0.03</v>
      </c>
      <c r="G21" s="5">
        <v>0.03</v>
      </c>
      <c r="H21" s="5">
        <v>0.03</v>
      </c>
      <c r="I21" s="5">
        <v>0.03</v>
      </c>
      <c r="J21" s="5">
        <v>0.03</v>
      </c>
      <c r="K21" s="5">
        <v>0.03</v>
      </c>
      <c r="L21" s="5">
        <v>0.03</v>
      </c>
      <c r="M21" s="5">
        <v>0.03</v>
      </c>
      <c r="N21" s="5">
        <v>0.03</v>
      </c>
      <c r="O21" s="5">
        <v>0.03</v>
      </c>
      <c r="P21" s="5">
        <v>0.03</v>
      </c>
      <c r="Q21" s="5">
        <v>0.03</v>
      </c>
      <c r="R21" s="5">
        <v>0.03</v>
      </c>
      <c r="S21" s="5">
        <v>0.03</v>
      </c>
      <c r="T21" s="5">
        <v>0.03</v>
      </c>
      <c r="U21" s="5">
        <v>0.03</v>
      </c>
      <c r="V21" s="5">
        <v>0.03</v>
      </c>
      <c r="W21" s="5">
        <v>0.03</v>
      </c>
    </row>
    <row r="22" spans="1:23" ht="13">
      <c r="A22" s="119" t="s">
        <v>363</v>
      </c>
      <c r="B22" s="119"/>
      <c r="C22" s="141"/>
      <c r="D22" s="5">
        <v>0.03</v>
      </c>
      <c r="E22" s="5">
        <v>0.03</v>
      </c>
      <c r="F22" s="5">
        <v>0.03</v>
      </c>
      <c r="G22" s="5">
        <v>0.03</v>
      </c>
      <c r="H22" s="5">
        <v>0.03</v>
      </c>
      <c r="I22" s="5">
        <v>0.03</v>
      </c>
      <c r="J22" s="5">
        <v>0.03</v>
      </c>
      <c r="K22" s="5">
        <v>0.03</v>
      </c>
      <c r="L22" s="5">
        <v>0.03</v>
      </c>
      <c r="M22" s="5">
        <v>0.03</v>
      </c>
      <c r="N22" s="5">
        <v>0.03</v>
      </c>
      <c r="O22" s="5">
        <v>0.03</v>
      </c>
      <c r="P22" s="5">
        <v>0.03</v>
      </c>
      <c r="Q22" s="5">
        <v>0.03</v>
      </c>
      <c r="R22" s="5">
        <v>0.03</v>
      </c>
      <c r="S22" s="5">
        <v>0.03</v>
      </c>
      <c r="T22" s="5">
        <v>0.03</v>
      </c>
      <c r="U22" s="5">
        <v>0.03</v>
      </c>
      <c r="V22" s="5">
        <v>0.03</v>
      </c>
      <c r="W22" s="5">
        <v>0.03</v>
      </c>
    </row>
    <row r="23" spans="1:23" ht="13">
      <c r="A23" s="3" t="s">
        <v>362</v>
      </c>
      <c r="B23" s="3"/>
      <c r="C23" s="139">
        <f>L2</f>
        <v>2.8025889911956781</v>
      </c>
      <c r="D23" s="140">
        <f>C23*(1+D22)</f>
        <v>2.8866666609315486</v>
      </c>
      <c r="E23" s="140">
        <f t="shared" ref="E23:W23" si="0">D23*(1+E22)</f>
        <v>2.9732666607594953</v>
      </c>
      <c r="F23" s="140">
        <f t="shared" si="0"/>
        <v>3.0624646605822803</v>
      </c>
      <c r="G23" s="140">
        <f t="shared" si="0"/>
        <v>3.1543386003997487</v>
      </c>
      <c r="H23" s="140">
        <f t="shared" si="0"/>
        <v>3.248968758411741</v>
      </c>
      <c r="I23" s="140">
        <f t="shared" si="0"/>
        <v>3.3464378211640935</v>
      </c>
      <c r="J23" s="140">
        <f t="shared" si="0"/>
        <v>3.4468309557990162</v>
      </c>
      <c r="K23" s="140">
        <f t="shared" si="0"/>
        <v>3.5502358844729867</v>
      </c>
      <c r="L23" s="140">
        <f t="shared" si="0"/>
        <v>3.6567429610071764</v>
      </c>
      <c r="M23" s="140">
        <f t="shared" si="0"/>
        <v>3.7664452498373917</v>
      </c>
      <c r="N23" s="140">
        <f t="shared" si="0"/>
        <v>3.8794386073325136</v>
      </c>
      <c r="O23" s="140">
        <f t="shared" si="0"/>
        <v>3.9958217655524892</v>
      </c>
      <c r="P23" s="140">
        <f t="shared" si="0"/>
        <v>4.1156964185190636</v>
      </c>
      <c r="Q23" s="140">
        <f t="shared" si="0"/>
        <v>4.2391673110746355</v>
      </c>
      <c r="R23" s="140">
        <f t="shared" si="0"/>
        <v>4.3663423304068747</v>
      </c>
      <c r="S23" s="140">
        <f t="shared" si="0"/>
        <v>4.4973326003190808</v>
      </c>
      <c r="T23" s="140">
        <f t="shared" si="0"/>
        <v>4.6322525783286537</v>
      </c>
      <c r="U23" s="140">
        <f t="shared" si="0"/>
        <v>4.7712201556785132</v>
      </c>
      <c r="V23" s="140">
        <f t="shared" si="0"/>
        <v>4.9143567603488689</v>
      </c>
      <c r="W23" s="140">
        <f t="shared" si="0"/>
        <v>5.0617874631593347</v>
      </c>
    </row>
    <row r="24" spans="1:23" ht="15.5">
      <c r="A24" s="84"/>
    </row>
    <row r="25" spans="1:23" ht="13">
      <c r="A25" s="358" t="s">
        <v>88</v>
      </c>
      <c r="B25" s="359"/>
      <c r="C25" s="359"/>
      <c r="D25" s="359"/>
      <c r="E25" s="359"/>
      <c r="F25" s="359"/>
      <c r="G25" s="359"/>
      <c r="H25" s="359"/>
      <c r="I25" s="359"/>
      <c r="J25" s="359"/>
      <c r="K25" s="359"/>
      <c r="L25" s="359"/>
      <c r="M25" s="359"/>
      <c r="N25" s="359"/>
      <c r="O25" s="359"/>
      <c r="P25" s="359"/>
      <c r="Q25" s="359"/>
      <c r="R25" s="359"/>
      <c r="S25" s="359"/>
      <c r="T25" s="359"/>
      <c r="U25" s="359"/>
      <c r="V25" s="359"/>
      <c r="W25" s="360"/>
    </row>
    <row r="26" spans="1:23" ht="15">
      <c r="A26" s="33" t="s">
        <v>0</v>
      </c>
      <c r="B26" s="33" t="s">
        <v>6</v>
      </c>
      <c r="C26" s="33" t="s">
        <v>220</v>
      </c>
      <c r="D26" s="33" t="s">
        <v>221</v>
      </c>
      <c r="E26" s="33" t="s">
        <v>222</v>
      </c>
      <c r="F26" s="33" t="s">
        <v>223</v>
      </c>
      <c r="G26" s="33" t="s">
        <v>224</v>
      </c>
      <c r="H26" s="33" t="s">
        <v>225</v>
      </c>
      <c r="I26" s="33" t="s">
        <v>226</v>
      </c>
      <c r="J26" s="33" t="s">
        <v>227</v>
      </c>
      <c r="K26" s="33" t="s">
        <v>228</v>
      </c>
      <c r="L26" s="33" t="s">
        <v>229</v>
      </c>
      <c r="M26" s="33" t="s">
        <v>230</v>
      </c>
      <c r="N26" s="33" t="s">
        <v>231</v>
      </c>
      <c r="O26" s="33" t="s">
        <v>232</v>
      </c>
      <c r="P26" s="33" t="s">
        <v>233</v>
      </c>
      <c r="Q26" s="33" t="s">
        <v>234</v>
      </c>
      <c r="R26" s="33" t="s">
        <v>235</v>
      </c>
      <c r="S26" s="33" t="s">
        <v>236</v>
      </c>
      <c r="T26" s="33" t="s">
        <v>237</v>
      </c>
      <c r="U26" s="33" t="s">
        <v>238</v>
      </c>
      <c r="V26" s="33" t="s">
        <v>239</v>
      </c>
      <c r="W26" s="33" t="s">
        <v>240</v>
      </c>
    </row>
    <row r="27" spans="1:23" ht="13">
      <c r="A27" s="3">
        <v>1</v>
      </c>
      <c r="B27" s="3" t="s">
        <v>275</v>
      </c>
      <c r="C27" s="141">
        <f>C11*C$23*$C2</f>
        <v>0.35590077599193914</v>
      </c>
      <c r="D27" s="141">
        <f t="shared" ref="D27:W30" si="1">D11*D$23*$C2</f>
        <v>0.61096299878616223</v>
      </c>
      <c r="E27" s="141">
        <f t="shared" si="1"/>
        <v>1.0068670219995957</v>
      </c>
      <c r="F27" s="141">
        <f t="shared" si="1"/>
        <v>1.1667071617420315</v>
      </c>
      <c r="G27" s="141">
        <f t="shared" si="1"/>
        <v>1.2684699530717529</v>
      </c>
      <c r="H27" s="141">
        <f t="shared" si="1"/>
        <v>1.3065240516639054</v>
      </c>
      <c r="I27" s="141">
        <f t="shared" si="1"/>
        <v>1.3457197732138226</v>
      </c>
      <c r="J27" s="141">
        <f t="shared" si="1"/>
        <v>1.3860913664102372</v>
      </c>
      <c r="K27" s="141">
        <f t="shared" si="1"/>
        <v>1.4276741074025445</v>
      </c>
      <c r="L27" s="141">
        <f t="shared" si="1"/>
        <v>1.470504330624621</v>
      </c>
      <c r="M27" s="141">
        <f t="shared" si="1"/>
        <v>1.5146194605433594</v>
      </c>
      <c r="N27" s="141">
        <f t="shared" si="1"/>
        <v>1.5600580443596603</v>
      </c>
      <c r="O27" s="141">
        <f t="shared" si="1"/>
        <v>1.6068597856904503</v>
      </c>
      <c r="P27" s="141">
        <f t="shared" si="1"/>
        <v>1.6550655792611637</v>
      </c>
      <c r="Q27" s="141">
        <f t="shared" si="1"/>
        <v>1.7047175466389983</v>
      </c>
      <c r="R27" s="141">
        <f t="shared" si="1"/>
        <v>1.7558590730381682</v>
      </c>
      <c r="S27" s="141">
        <f t="shared" si="1"/>
        <v>1.8085348452293133</v>
      </c>
      <c r="T27" s="141">
        <f t="shared" si="1"/>
        <v>1.8627908905861932</v>
      </c>
      <c r="U27" s="141">
        <f t="shared" si="1"/>
        <v>1.9186746173037788</v>
      </c>
      <c r="V27" s="141">
        <f t="shared" si="1"/>
        <v>1.9762348558228924</v>
      </c>
      <c r="W27" s="141">
        <f t="shared" si="1"/>
        <v>2.0355219014975789</v>
      </c>
    </row>
    <row r="28" spans="1:23" ht="13">
      <c r="A28" s="3">
        <v>2</v>
      </c>
      <c r="B28" s="3" t="s">
        <v>276</v>
      </c>
      <c r="C28" s="141">
        <f t="shared" ref="C28:R30" si="2">C12*C$23*$C3</f>
        <v>0.29696232950709406</v>
      </c>
      <c r="D28" s="141">
        <f t="shared" si="2"/>
        <v>0.40782826585640924</v>
      </c>
      <c r="E28" s="141">
        <f t="shared" si="2"/>
        <v>0.63009467074815229</v>
      </c>
      <c r="F28" s="141">
        <f t="shared" si="2"/>
        <v>0.86533001449412916</v>
      </c>
      <c r="G28" s="141">
        <f t="shared" si="2"/>
        <v>1.0584067739781318</v>
      </c>
      <c r="H28" s="141">
        <f t="shared" si="2"/>
        <v>1.0901589771974756</v>
      </c>
      <c r="I28" s="141">
        <f t="shared" si="2"/>
        <v>1.1228637465133999</v>
      </c>
      <c r="J28" s="141">
        <f t="shared" si="2"/>
        <v>1.1565496589088018</v>
      </c>
      <c r="K28" s="141">
        <f t="shared" si="2"/>
        <v>1.1912461486760659</v>
      </c>
      <c r="L28" s="141">
        <f t="shared" si="2"/>
        <v>1.2269835331363481</v>
      </c>
      <c r="M28" s="141">
        <f t="shared" si="2"/>
        <v>1.2637930391304384</v>
      </c>
      <c r="N28" s="141">
        <f t="shared" si="2"/>
        <v>1.3017068303043515</v>
      </c>
      <c r="O28" s="141">
        <f t="shared" si="2"/>
        <v>1.3407580352134822</v>
      </c>
      <c r="P28" s="141">
        <f t="shared" si="2"/>
        <v>1.3809807762698867</v>
      </c>
      <c r="Q28" s="141">
        <f t="shared" si="2"/>
        <v>1.422410199557983</v>
      </c>
      <c r="R28" s="141">
        <f t="shared" si="2"/>
        <v>1.4650825055447225</v>
      </c>
      <c r="S28" s="141">
        <f t="shared" si="1"/>
        <v>1.5090349807110643</v>
      </c>
      <c r="T28" s="141">
        <f t="shared" si="1"/>
        <v>1.5543060301323965</v>
      </c>
      <c r="U28" s="141">
        <f t="shared" si="1"/>
        <v>1.6009352110363682</v>
      </c>
      <c r="V28" s="141">
        <f t="shared" si="1"/>
        <v>1.6489632673674595</v>
      </c>
      <c r="W28" s="141">
        <f t="shared" si="1"/>
        <v>1.6984321653884833</v>
      </c>
    </row>
    <row r="29" spans="1:23" ht="13">
      <c r="A29" s="3">
        <v>3</v>
      </c>
      <c r="B29" s="3" t="s">
        <v>277</v>
      </c>
      <c r="C29" s="141">
        <f t="shared" si="2"/>
        <v>0.2835099023493548</v>
      </c>
      <c r="D29" s="141">
        <f t="shared" si="2"/>
        <v>0.3893535992264473</v>
      </c>
      <c r="E29" s="141">
        <f t="shared" si="2"/>
        <v>0.45116348310364585</v>
      </c>
      <c r="F29" s="141">
        <f t="shared" si="2"/>
        <v>0.49051496468546379</v>
      </c>
      <c r="G29" s="141">
        <f t="shared" si="2"/>
        <v>0.50523041362602772</v>
      </c>
      <c r="H29" s="141">
        <f t="shared" si="2"/>
        <v>0.52038732603480853</v>
      </c>
      <c r="I29" s="141">
        <f t="shared" si="2"/>
        <v>0.53599894581585283</v>
      </c>
      <c r="J29" s="141">
        <f t="shared" si="2"/>
        <v>0.5520789141903284</v>
      </c>
      <c r="K29" s="141">
        <f t="shared" si="2"/>
        <v>0.56864128161603822</v>
      </c>
      <c r="L29" s="141">
        <f t="shared" si="2"/>
        <v>0.58570052006451945</v>
      </c>
      <c r="M29" s="141">
        <f t="shared" si="2"/>
        <v>0.60327153566645497</v>
      </c>
      <c r="N29" s="141">
        <f t="shared" si="2"/>
        <v>0.62136968173644869</v>
      </c>
      <c r="O29" s="141">
        <f t="shared" si="2"/>
        <v>0.64001077218854219</v>
      </c>
      <c r="P29" s="141">
        <f t="shared" si="2"/>
        <v>0.65921109535419842</v>
      </c>
      <c r="Q29" s="141">
        <f t="shared" si="2"/>
        <v>0.67898742821482427</v>
      </c>
      <c r="R29" s="141">
        <f t="shared" si="2"/>
        <v>0.699357051061269</v>
      </c>
      <c r="S29" s="141">
        <f t="shared" si="1"/>
        <v>0.72033776259310711</v>
      </c>
      <c r="T29" s="141">
        <f t="shared" si="1"/>
        <v>0.74194789547090045</v>
      </c>
      <c r="U29" s="141">
        <f t="shared" si="1"/>
        <v>0.76420633233502733</v>
      </c>
      <c r="V29" s="141">
        <f t="shared" si="1"/>
        <v>0.78713252230507824</v>
      </c>
      <c r="W29" s="141">
        <f t="shared" si="1"/>
        <v>0.8107464979742306</v>
      </c>
    </row>
    <row r="30" spans="1:23" ht="13">
      <c r="A30" s="113">
        <v>4</v>
      </c>
      <c r="B30" s="113" t="s">
        <v>308</v>
      </c>
      <c r="C30" s="141">
        <f t="shared" si="2"/>
        <v>3.0772427123328533E-2</v>
      </c>
      <c r="D30" s="141">
        <f t="shared" si="2"/>
        <v>4.7543399905542578E-2</v>
      </c>
      <c r="E30" s="141">
        <f t="shared" si="2"/>
        <v>8.1616169837848113E-2</v>
      </c>
      <c r="F30" s="141">
        <f t="shared" si="2"/>
        <v>0.13450344789277369</v>
      </c>
      <c r="G30" s="141">
        <f t="shared" si="2"/>
        <v>0.16451452970384883</v>
      </c>
      <c r="H30" s="141">
        <f t="shared" si="2"/>
        <v>0.16944996559496428</v>
      </c>
      <c r="I30" s="141">
        <f t="shared" si="2"/>
        <v>0.17453346456281321</v>
      </c>
      <c r="J30" s="141">
        <f t="shared" si="2"/>
        <v>0.1797694684996976</v>
      </c>
      <c r="K30" s="141">
        <f t="shared" si="2"/>
        <v>0.18516255255468853</v>
      </c>
      <c r="L30" s="141">
        <f t="shared" si="2"/>
        <v>0.19071742913132922</v>
      </c>
      <c r="M30" s="141">
        <f t="shared" si="2"/>
        <v>0.19643895200526906</v>
      </c>
      <c r="N30" s="141">
        <f t="shared" si="2"/>
        <v>0.20233212056542715</v>
      </c>
      <c r="O30" s="141">
        <f t="shared" si="2"/>
        <v>0.20840208418238998</v>
      </c>
      <c r="P30" s="141">
        <f t="shared" si="2"/>
        <v>0.21465414670786165</v>
      </c>
      <c r="Q30" s="141">
        <f t="shared" si="2"/>
        <v>0.2210937711090975</v>
      </c>
      <c r="R30" s="141">
        <f t="shared" si="2"/>
        <v>0.22772658424237041</v>
      </c>
      <c r="S30" s="141">
        <f t="shared" si="1"/>
        <v>0.23455838176964153</v>
      </c>
      <c r="T30" s="141">
        <f t="shared" si="1"/>
        <v>0.24159513322273082</v>
      </c>
      <c r="U30" s="141">
        <f t="shared" si="1"/>
        <v>0.24884298721941273</v>
      </c>
      <c r="V30" s="141">
        <f t="shared" si="1"/>
        <v>0.25630827683599511</v>
      </c>
      <c r="W30" s="141">
        <f t="shared" si="1"/>
        <v>0.263997525141075</v>
      </c>
    </row>
    <row r="31" spans="1:23" ht="13">
      <c r="A31" s="3" t="s">
        <v>76</v>
      </c>
      <c r="B31" s="3"/>
      <c r="C31" s="141">
        <f>SUM(C27:C30)</f>
        <v>0.96714543497171657</v>
      </c>
      <c r="D31" s="141">
        <f t="shared" ref="D31:W31" si="3">SUM(D27:D30)</f>
        <v>1.4556882637745612</v>
      </c>
      <c r="E31" s="141">
        <f t="shared" si="3"/>
        <v>2.1697413456892418</v>
      </c>
      <c r="F31" s="141">
        <f t="shared" si="3"/>
        <v>2.6570555888143979</v>
      </c>
      <c r="G31" s="141">
        <f t="shared" si="3"/>
        <v>2.9966216703797612</v>
      </c>
      <c r="H31" s="141">
        <f t="shared" si="3"/>
        <v>3.0865203204911538</v>
      </c>
      <c r="I31" s="141">
        <f t="shared" si="3"/>
        <v>3.1791159301058891</v>
      </c>
      <c r="J31" s="141">
        <f t="shared" si="3"/>
        <v>3.2744894080090652</v>
      </c>
      <c r="K31" s="141">
        <f t="shared" si="3"/>
        <v>3.3727240902493372</v>
      </c>
      <c r="L31" s="141">
        <f t="shared" si="3"/>
        <v>3.4739058129568181</v>
      </c>
      <c r="M31" s="141">
        <f t="shared" si="3"/>
        <v>3.5781229873455218</v>
      </c>
      <c r="N31" s="141">
        <f t="shared" si="3"/>
        <v>3.6854666769658877</v>
      </c>
      <c r="O31" s="141">
        <f t="shared" si="3"/>
        <v>3.7960306772748647</v>
      </c>
      <c r="P31" s="141">
        <f t="shared" si="3"/>
        <v>3.9099115975931107</v>
      </c>
      <c r="Q31" s="141">
        <f t="shared" si="3"/>
        <v>4.0272089455209032</v>
      </c>
      <c r="R31" s="141">
        <f t="shared" si="3"/>
        <v>4.1480252138865303</v>
      </c>
      <c r="S31" s="141">
        <f t="shared" si="3"/>
        <v>4.2724659703031262</v>
      </c>
      <c r="T31" s="141">
        <f t="shared" si="3"/>
        <v>4.4006399494122208</v>
      </c>
      <c r="U31" s="141">
        <f t="shared" si="3"/>
        <v>4.532659147894587</v>
      </c>
      <c r="V31" s="141">
        <f t="shared" si="3"/>
        <v>4.6686389223314251</v>
      </c>
      <c r="W31" s="141">
        <f t="shared" si="3"/>
        <v>4.8086980900013678</v>
      </c>
    </row>
    <row r="32" spans="1:23" ht="15.5">
      <c r="A32" s="84"/>
    </row>
    <row r="33" spans="1:23" ht="13">
      <c r="A33" s="358" t="s">
        <v>382</v>
      </c>
      <c r="B33" s="359"/>
      <c r="C33" s="359"/>
      <c r="D33" s="359"/>
      <c r="E33" s="359"/>
      <c r="F33" s="359"/>
      <c r="G33" s="359"/>
      <c r="H33" s="359"/>
      <c r="I33" s="359"/>
      <c r="J33" s="359"/>
      <c r="K33" s="359"/>
      <c r="L33" s="359"/>
      <c r="M33" s="359"/>
      <c r="N33" s="359"/>
      <c r="O33" s="359"/>
      <c r="P33" s="359"/>
      <c r="Q33" s="359"/>
      <c r="R33" s="359"/>
      <c r="S33" s="359"/>
      <c r="T33" s="359"/>
      <c r="U33" s="359"/>
      <c r="V33" s="359"/>
      <c r="W33" s="360"/>
    </row>
    <row r="34" spans="1:23" ht="15">
      <c r="A34" s="33" t="s">
        <v>0</v>
      </c>
      <c r="B34" s="33" t="s">
        <v>6</v>
      </c>
      <c r="C34" s="33" t="s">
        <v>220</v>
      </c>
      <c r="D34" s="33" t="s">
        <v>221</v>
      </c>
      <c r="E34" s="33" t="s">
        <v>222</v>
      </c>
      <c r="F34" s="33" t="s">
        <v>223</v>
      </c>
      <c r="G34" s="33" t="s">
        <v>224</v>
      </c>
      <c r="H34" s="33" t="s">
        <v>225</v>
      </c>
      <c r="I34" s="33" t="s">
        <v>226</v>
      </c>
      <c r="J34" s="33" t="s">
        <v>227</v>
      </c>
      <c r="K34" s="33" t="s">
        <v>228</v>
      </c>
      <c r="L34" s="33" t="s">
        <v>229</v>
      </c>
      <c r="M34" s="33" t="s">
        <v>230</v>
      </c>
      <c r="N34" s="33" t="s">
        <v>231</v>
      </c>
      <c r="O34" s="33" t="s">
        <v>232</v>
      </c>
      <c r="P34" s="33" t="s">
        <v>233</v>
      </c>
      <c r="Q34" s="33" t="s">
        <v>234</v>
      </c>
      <c r="R34" s="33" t="s">
        <v>235</v>
      </c>
      <c r="S34" s="33" t="s">
        <v>236</v>
      </c>
      <c r="T34" s="33" t="s">
        <v>237</v>
      </c>
      <c r="U34" s="33" t="s">
        <v>238</v>
      </c>
      <c r="V34" s="33" t="s">
        <v>239</v>
      </c>
      <c r="W34" s="33" t="s">
        <v>240</v>
      </c>
    </row>
    <row r="35" spans="1:23" ht="13">
      <c r="A35" s="3">
        <v>1</v>
      </c>
      <c r="B35" s="3" t="s">
        <v>275</v>
      </c>
      <c r="C35" s="141">
        <f>C27*$D2</f>
        <v>0.11826582786212138</v>
      </c>
      <c r="D35" s="141">
        <f t="shared" ref="D35:W35" si="4">D27*$D2</f>
        <v>0.20302300449664171</v>
      </c>
      <c r="E35" s="141">
        <f t="shared" si="4"/>
        <v>0.33458191141046562</v>
      </c>
      <c r="F35" s="141">
        <f t="shared" si="4"/>
        <v>0.38769678984687705</v>
      </c>
      <c r="G35" s="141">
        <f>G27*$D2</f>
        <v>0.4215125654057435</v>
      </c>
      <c r="H35" s="141">
        <f t="shared" si="4"/>
        <v>0.43415794236791572</v>
      </c>
      <c r="I35" s="141">
        <f t="shared" si="4"/>
        <v>0.44718268063895322</v>
      </c>
      <c r="J35" s="141">
        <f t="shared" si="4"/>
        <v>0.46059816105812179</v>
      </c>
      <c r="K35" s="141">
        <f t="shared" si="4"/>
        <v>0.47441610588986555</v>
      </c>
      <c r="L35" s="141">
        <f t="shared" si="4"/>
        <v>0.48864858906656156</v>
      </c>
      <c r="M35" s="141">
        <f t="shared" si="4"/>
        <v>0.50330804673855833</v>
      </c>
      <c r="N35" s="141">
        <f t="shared" si="4"/>
        <v>0.51840728814071513</v>
      </c>
      <c r="O35" s="141">
        <f t="shared" si="4"/>
        <v>0.53395950678493664</v>
      </c>
      <c r="P35" s="141">
        <f t="shared" si="4"/>
        <v>0.54997829198848469</v>
      </c>
      <c r="Q35" s="141">
        <f t="shared" si="4"/>
        <v>0.56647764074813911</v>
      </c>
      <c r="R35" s="141">
        <f t="shared" si="4"/>
        <v>0.58347196997058326</v>
      </c>
      <c r="S35" s="141">
        <f t="shared" si="4"/>
        <v>0.60097612906970077</v>
      </c>
      <c r="T35" s="141">
        <f t="shared" si="4"/>
        <v>0.61900541294179201</v>
      </c>
      <c r="U35" s="141">
        <f t="shared" si="4"/>
        <v>0.63757557533004561</v>
      </c>
      <c r="V35" s="141">
        <f t="shared" si="4"/>
        <v>0.65670284258994716</v>
      </c>
      <c r="W35" s="141">
        <f t="shared" si="4"/>
        <v>0.67640392786764547</v>
      </c>
    </row>
    <row r="36" spans="1:23" ht="13">
      <c r="A36" s="3">
        <v>2</v>
      </c>
      <c r="B36" s="3" t="s">
        <v>276</v>
      </c>
      <c r="C36" s="141">
        <f>C28*$D3</f>
        <v>0.1448879205665112</v>
      </c>
      <c r="D36" s="141">
        <f t="shared" ref="D36:W38" si="5">D28*$D3</f>
        <v>0.19897941091134208</v>
      </c>
      <c r="E36" s="141">
        <f t="shared" si="5"/>
        <v>0.30742318985802353</v>
      </c>
      <c r="F36" s="141">
        <f t="shared" si="5"/>
        <v>0.42219451407168562</v>
      </c>
      <c r="G36" s="141">
        <f t="shared" si="5"/>
        <v>0.51639666502393045</v>
      </c>
      <c r="H36" s="141">
        <f t="shared" si="5"/>
        <v>0.53188856497464831</v>
      </c>
      <c r="I36" s="141">
        <f t="shared" si="5"/>
        <v>0.54784522192388785</v>
      </c>
      <c r="J36" s="141">
        <f t="shared" si="5"/>
        <v>0.56428057858160441</v>
      </c>
      <c r="K36" s="141">
        <f t="shared" si="5"/>
        <v>0.58120899593905262</v>
      </c>
      <c r="L36" s="141">
        <f t="shared" si="5"/>
        <v>0.59864526581722421</v>
      </c>
      <c r="M36" s="141">
        <f t="shared" si="5"/>
        <v>0.61660462379174086</v>
      </c>
      <c r="N36" s="141">
        <f t="shared" si="5"/>
        <v>0.63510276250549313</v>
      </c>
      <c r="O36" s="141">
        <f t="shared" si="5"/>
        <v>0.65415584538065796</v>
      </c>
      <c r="P36" s="141">
        <f t="shared" si="5"/>
        <v>0.67378052074207773</v>
      </c>
      <c r="Q36" s="141">
        <f t="shared" si="5"/>
        <v>0.69399393636433993</v>
      </c>
      <c r="R36" s="141">
        <f t="shared" si="5"/>
        <v>0.71481375445527007</v>
      </c>
      <c r="S36" s="141">
        <f t="shared" si="5"/>
        <v>0.73625816708892833</v>
      </c>
      <c r="T36" s="141">
        <f t="shared" si="5"/>
        <v>0.7583459121015963</v>
      </c>
      <c r="U36" s="141">
        <f t="shared" si="5"/>
        <v>0.78109628946464404</v>
      </c>
      <c r="V36" s="141">
        <f t="shared" si="5"/>
        <v>0.80452917814858349</v>
      </c>
      <c r="W36" s="141">
        <f t="shared" si="5"/>
        <v>0.82866505349304098</v>
      </c>
    </row>
    <row r="37" spans="1:23" ht="13">
      <c r="A37" s="3">
        <v>3</v>
      </c>
      <c r="B37" s="3" t="s">
        <v>277</v>
      </c>
      <c r="C37" s="141">
        <f t="shared" ref="C37:R38" si="6">C29*$D4</f>
        <v>7.4364647386235758E-2</v>
      </c>
      <c r="D37" s="141">
        <f t="shared" si="6"/>
        <v>0.10212744907709712</v>
      </c>
      <c r="E37" s="141">
        <f t="shared" si="6"/>
        <v>0.11834018161808629</v>
      </c>
      <c r="F37" s="141">
        <f t="shared" si="6"/>
        <v>0.12866207523699713</v>
      </c>
      <c r="G37" s="141">
        <f t="shared" si="6"/>
        <v>0.13252193749410707</v>
      </c>
      <c r="H37" s="141">
        <f t="shared" si="6"/>
        <v>0.13649759561893027</v>
      </c>
      <c r="I37" s="141">
        <f t="shared" si="6"/>
        <v>0.14059252348749818</v>
      </c>
      <c r="J37" s="141">
        <f t="shared" si="6"/>
        <v>0.14481029919212313</v>
      </c>
      <c r="K37" s="141">
        <f t="shared" si="6"/>
        <v>0.14915460816788681</v>
      </c>
      <c r="L37" s="141">
        <f t="shared" si="6"/>
        <v>0.15362924641292344</v>
      </c>
      <c r="M37" s="141">
        <f t="shared" si="6"/>
        <v>0.15823812380531113</v>
      </c>
      <c r="N37" s="141">
        <f t="shared" si="6"/>
        <v>0.16298526751947048</v>
      </c>
      <c r="O37" s="141">
        <f t="shared" si="6"/>
        <v>0.16787482554505459</v>
      </c>
      <c r="P37" s="141">
        <f t="shared" si="6"/>
        <v>0.17291107031140623</v>
      </c>
      <c r="Q37" s="141">
        <f t="shared" si="6"/>
        <v>0.1780984024207484</v>
      </c>
      <c r="R37" s="141">
        <f t="shared" si="6"/>
        <v>0.18344135449337085</v>
      </c>
      <c r="S37" s="141">
        <f t="shared" si="5"/>
        <v>0.18894459512817197</v>
      </c>
      <c r="T37" s="141">
        <f t="shared" si="5"/>
        <v>0.19461293298201718</v>
      </c>
      <c r="U37" s="141">
        <f t="shared" si="5"/>
        <v>0.20045132097147766</v>
      </c>
      <c r="V37" s="141">
        <f t="shared" si="5"/>
        <v>0.206464860600622</v>
      </c>
      <c r="W37" s="141">
        <f t="shared" si="5"/>
        <v>0.21265880641864066</v>
      </c>
    </row>
    <row r="38" spans="1:23" ht="13">
      <c r="A38" s="113">
        <v>4</v>
      </c>
      <c r="B38" s="113" t="s">
        <v>308</v>
      </c>
      <c r="C38" s="141">
        <f t="shared" si="6"/>
        <v>7.6931067808321332E-3</v>
      </c>
      <c r="D38" s="141">
        <f t="shared" si="6"/>
        <v>1.1885849976385645E-2</v>
      </c>
      <c r="E38" s="141">
        <f t="shared" si="6"/>
        <v>2.0404042459462028E-2</v>
      </c>
      <c r="F38" s="141">
        <f t="shared" si="6"/>
        <v>3.3625861973193422E-2</v>
      </c>
      <c r="G38" s="141">
        <f t="shared" si="6"/>
        <v>4.1128632425962208E-2</v>
      </c>
      <c r="H38" s="141">
        <f t="shared" si="6"/>
        <v>4.236249139874107E-2</v>
      </c>
      <c r="I38" s="141">
        <f t="shared" si="6"/>
        <v>4.3633366140703303E-2</v>
      </c>
      <c r="J38" s="141">
        <f t="shared" si="6"/>
        <v>4.4942367124924401E-2</v>
      </c>
      <c r="K38" s="141">
        <f t="shared" si="6"/>
        <v>4.6290638138672131E-2</v>
      </c>
      <c r="L38" s="141">
        <f t="shared" si="6"/>
        <v>4.7679357282832305E-2</v>
      </c>
      <c r="M38" s="141">
        <f t="shared" si="6"/>
        <v>4.9109738001317266E-2</v>
      </c>
      <c r="N38" s="141">
        <f t="shared" si="6"/>
        <v>5.0583030141356788E-2</v>
      </c>
      <c r="O38" s="141">
        <f t="shared" si="6"/>
        <v>5.2100521045597495E-2</v>
      </c>
      <c r="P38" s="141">
        <f t="shared" si="6"/>
        <v>5.3663536676965412E-2</v>
      </c>
      <c r="Q38" s="141">
        <f t="shared" si="6"/>
        <v>5.5273442777274376E-2</v>
      </c>
      <c r="R38" s="141">
        <f t="shared" si="6"/>
        <v>5.6931646060592603E-2</v>
      </c>
      <c r="S38" s="141">
        <f t="shared" si="5"/>
        <v>5.8639595442410382E-2</v>
      </c>
      <c r="T38" s="141">
        <f t="shared" si="5"/>
        <v>6.0398783305682706E-2</v>
      </c>
      <c r="U38" s="141">
        <f t="shared" si="5"/>
        <v>6.2210746804853181E-2</v>
      </c>
      <c r="V38" s="141">
        <f t="shared" si="5"/>
        <v>6.4077069208998777E-2</v>
      </c>
      <c r="W38" s="141">
        <f t="shared" si="5"/>
        <v>6.5999381285268749E-2</v>
      </c>
    </row>
    <row r="39" spans="1:23" ht="13">
      <c r="A39" s="3" t="s">
        <v>76</v>
      </c>
      <c r="B39" s="3"/>
      <c r="C39" s="141">
        <f>SUM(C35:C38)</f>
        <v>0.34521150259570049</v>
      </c>
      <c r="D39" s="141">
        <f t="shared" ref="D39:W39" si="7">SUM(D35:D38)</f>
        <v>0.51601571446146655</v>
      </c>
      <c r="E39" s="141">
        <f t="shared" si="7"/>
        <v>0.78074932534603736</v>
      </c>
      <c r="F39" s="141">
        <f t="shared" si="7"/>
        <v>0.9721792411287532</v>
      </c>
      <c r="G39" s="141">
        <f t="shared" si="7"/>
        <v>1.1115598003497431</v>
      </c>
      <c r="H39" s="141">
        <f t="shared" si="7"/>
        <v>1.1449065943602355</v>
      </c>
      <c r="I39" s="141">
        <f t="shared" si="7"/>
        <v>1.1792537921910426</v>
      </c>
      <c r="J39" s="141">
        <f t="shared" si="7"/>
        <v>1.2146314059567738</v>
      </c>
      <c r="K39" s="141">
        <f t="shared" si="7"/>
        <v>1.251070348135477</v>
      </c>
      <c r="L39" s="141">
        <f t="shared" si="7"/>
        <v>1.2886024585795415</v>
      </c>
      <c r="M39" s="141">
        <f t="shared" si="7"/>
        <v>1.3272605323369275</v>
      </c>
      <c r="N39" s="141">
        <f t="shared" si="7"/>
        <v>1.3670783483070357</v>
      </c>
      <c r="O39" s="141">
        <f t="shared" si="7"/>
        <v>1.4080906987562469</v>
      </c>
      <c r="P39" s="141">
        <f t="shared" si="7"/>
        <v>1.4503334197189341</v>
      </c>
      <c r="Q39" s="141">
        <f t="shared" si="7"/>
        <v>1.4938434223105017</v>
      </c>
      <c r="R39" s="141">
        <f t="shared" si="7"/>
        <v>1.5386587249798169</v>
      </c>
      <c r="S39" s="141">
        <f t="shared" si="7"/>
        <v>1.5848184867292114</v>
      </c>
      <c r="T39" s="141">
        <f t="shared" si="7"/>
        <v>1.6323630413310881</v>
      </c>
      <c r="U39" s="141">
        <f t="shared" si="7"/>
        <v>1.6813339325710206</v>
      </c>
      <c r="V39" s="141">
        <f t="shared" si="7"/>
        <v>1.7317739505481515</v>
      </c>
      <c r="W39" s="141">
        <f t="shared" si="7"/>
        <v>1.7837271690645959</v>
      </c>
    </row>
    <row r="41" spans="1:23" ht="13">
      <c r="A41" s="358" t="s">
        <v>443</v>
      </c>
      <c r="B41" s="359"/>
      <c r="C41" s="359"/>
      <c r="D41" s="359"/>
      <c r="E41" s="359"/>
      <c r="F41" s="359"/>
      <c r="G41" s="359"/>
      <c r="H41" s="359"/>
      <c r="I41" s="359"/>
      <c r="J41" s="359"/>
      <c r="K41" s="359"/>
      <c r="L41" s="359"/>
      <c r="M41" s="359"/>
      <c r="N41" s="359"/>
      <c r="O41" s="359"/>
      <c r="P41" s="359"/>
      <c r="Q41" s="359"/>
      <c r="R41" s="359"/>
      <c r="S41" s="359"/>
      <c r="T41" s="359"/>
      <c r="U41" s="359"/>
      <c r="V41" s="359"/>
      <c r="W41" s="360"/>
    </row>
    <row r="42" spans="1:23" ht="15">
      <c r="A42" s="33" t="s">
        <v>0</v>
      </c>
      <c r="B42" s="33" t="s">
        <v>6</v>
      </c>
      <c r="C42" s="33" t="s">
        <v>220</v>
      </c>
      <c r="D42" s="33" t="s">
        <v>221</v>
      </c>
      <c r="E42" s="33" t="s">
        <v>222</v>
      </c>
      <c r="F42" s="33" t="s">
        <v>223</v>
      </c>
      <c r="G42" s="33" t="s">
        <v>224</v>
      </c>
      <c r="H42" s="33" t="s">
        <v>225</v>
      </c>
      <c r="I42" s="33" t="s">
        <v>226</v>
      </c>
      <c r="J42" s="33" t="s">
        <v>227</v>
      </c>
      <c r="K42" s="33" t="s">
        <v>228</v>
      </c>
      <c r="L42" s="33" t="s">
        <v>229</v>
      </c>
      <c r="M42" s="33" t="s">
        <v>230</v>
      </c>
      <c r="N42" s="33" t="s">
        <v>231</v>
      </c>
      <c r="O42" s="33" t="s">
        <v>232</v>
      </c>
      <c r="P42" s="33" t="s">
        <v>233</v>
      </c>
      <c r="Q42" s="33" t="s">
        <v>234</v>
      </c>
      <c r="R42" s="33" t="s">
        <v>235</v>
      </c>
      <c r="S42" s="33" t="s">
        <v>236</v>
      </c>
      <c r="T42" s="33" t="s">
        <v>237</v>
      </c>
      <c r="U42" s="33" t="s">
        <v>238</v>
      </c>
      <c r="V42" s="33" t="s">
        <v>239</v>
      </c>
      <c r="W42" s="33" t="s">
        <v>240</v>
      </c>
    </row>
    <row r="43" spans="1:23" ht="13">
      <c r="A43" s="3">
        <v>1</v>
      </c>
      <c r="B43" s="109" t="s">
        <v>380</v>
      </c>
      <c r="C43" s="141">
        <f>C31*$F$112</f>
        <v>1.637712329087216E-2</v>
      </c>
      <c r="D43" s="141">
        <f t="shared" ref="D43:W43" si="8">D31*$F$112</f>
        <v>2.4649846141918466E-2</v>
      </c>
      <c r="E43" s="141">
        <f t="shared" si="8"/>
        <v>3.674123895202458E-2</v>
      </c>
      <c r="F43" s="141">
        <f t="shared" si="8"/>
        <v>4.4993157590602573E-2</v>
      </c>
      <c r="G43" s="141">
        <f t="shared" si="8"/>
        <v>5.0743187919140433E-2</v>
      </c>
      <c r="H43" s="141">
        <f t="shared" si="8"/>
        <v>5.2265483556714641E-2</v>
      </c>
      <c r="I43" s="141">
        <f t="shared" si="8"/>
        <v>5.3833448063416091E-2</v>
      </c>
      <c r="J43" s="141">
        <f t="shared" si="8"/>
        <v>5.5448451505318561E-2</v>
      </c>
      <c r="K43" s="141">
        <f t="shared" si="8"/>
        <v>5.7111905050478119E-2</v>
      </c>
      <c r="L43" s="141">
        <f t="shared" si="8"/>
        <v>5.8825262201992481E-2</v>
      </c>
      <c r="M43" s="141">
        <f t="shared" si="8"/>
        <v>6.0590020068052239E-2</v>
      </c>
      <c r="N43" s="141">
        <f t="shared" si="8"/>
        <v>6.2407720670093807E-2</v>
      </c>
      <c r="O43" s="141">
        <f t="shared" si="8"/>
        <v>6.4279952290196632E-2</v>
      </c>
      <c r="P43" s="141">
        <f t="shared" si="8"/>
        <v>6.6208350858902532E-2</v>
      </c>
      <c r="Q43" s="141">
        <f t="shared" si="8"/>
        <v>6.8194601384669595E-2</v>
      </c>
      <c r="R43" s="141">
        <f t="shared" si="8"/>
        <v>7.024043942620968E-2</v>
      </c>
      <c r="S43" s="141">
        <f t="shared" si="8"/>
        <v>7.2347652608995977E-2</v>
      </c>
      <c r="T43" s="141">
        <f t="shared" si="8"/>
        <v>7.4518082187265869E-2</v>
      </c>
      <c r="U43" s="141">
        <f t="shared" si="8"/>
        <v>7.6753624652883837E-2</v>
      </c>
      <c r="V43" s="141">
        <f t="shared" si="8"/>
        <v>7.9056233392470351E-2</v>
      </c>
      <c r="W43" s="141">
        <f t="shared" si="8"/>
        <v>8.1427920394244471E-2</v>
      </c>
    </row>
    <row r="44" spans="1:23" ht="13">
      <c r="A44" s="3">
        <v>2</v>
      </c>
      <c r="B44" s="109" t="s">
        <v>381</v>
      </c>
      <c r="C44" s="141">
        <f>C27-C35-C43</f>
        <v>0.22125782483894563</v>
      </c>
      <c r="D44" s="141">
        <f t="shared" ref="D44:W44" si="9">D27-D35-D43</f>
        <v>0.38329014814760209</v>
      </c>
      <c r="E44" s="141">
        <f t="shared" si="9"/>
        <v>0.63554387163710557</v>
      </c>
      <c r="F44" s="141">
        <f t="shared" si="9"/>
        <v>0.7340172143045518</v>
      </c>
      <c r="G44" s="141">
        <f t="shared" si="9"/>
        <v>0.79621419974686902</v>
      </c>
      <c r="H44" s="141">
        <f t="shared" si="9"/>
        <v>0.820100625739275</v>
      </c>
      <c r="I44" s="141">
        <f t="shared" si="9"/>
        <v>0.84470364451145341</v>
      </c>
      <c r="J44" s="141">
        <f t="shared" si="9"/>
        <v>0.87004475384679691</v>
      </c>
      <c r="K44" s="141">
        <f t="shared" si="9"/>
        <v>0.89614609646220089</v>
      </c>
      <c r="L44" s="141">
        <f t="shared" si="9"/>
        <v>0.92303047935606708</v>
      </c>
      <c r="M44" s="141">
        <f t="shared" si="9"/>
        <v>0.95072139373674891</v>
      </c>
      <c r="N44" s="141">
        <f t="shared" si="9"/>
        <v>0.97924303554885139</v>
      </c>
      <c r="O44" s="141">
        <f t="shared" si="9"/>
        <v>1.0086203266153169</v>
      </c>
      <c r="P44" s="141">
        <f t="shared" si="9"/>
        <v>1.0388789364137767</v>
      </c>
      <c r="Q44" s="141">
        <f t="shared" si="9"/>
        <v>1.0700453045061895</v>
      </c>
      <c r="R44" s="141">
        <f t="shared" si="9"/>
        <v>1.1021466636413753</v>
      </c>
      <c r="S44" s="141">
        <f t="shared" si="9"/>
        <v>1.1352110635506167</v>
      </c>
      <c r="T44" s="141">
        <f t="shared" si="9"/>
        <v>1.1692673954571353</v>
      </c>
      <c r="U44" s="141">
        <f t="shared" si="9"/>
        <v>1.2043454173208492</v>
      </c>
      <c r="V44" s="141">
        <f t="shared" si="9"/>
        <v>1.2404757798404749</v>
      </c>
      <c r="W44" s="141">
        <f t="shared" si="9"/>
        <v>1.277690053235689</v>
      </c>
    </row>
    <row r="45" spans="1:23" ht="13">
      <c r="A45" s="3">
        <v>3</v>
      </c>
      <c r="B45" s="119" t="s">
        <v>379</v>
      </c>
      <c r="C45" s="141">
        <f>C31*$F$114</f>
        <v>0.16922000111621432</v>
      </c>
      <c r="D45" s="141">
        <f t="shared" ref="D45:W45" si="10">D31*$F$114</f>
        <v>0.25469961467376945</v>
      </c>
      <c r="E45" s="141">
        <f t="shared" si="10"/>
        <v>0.37963642246852697</v>
      </c>
      <c r="F45" s="141">
        <f t="shared" si="10"/>
        <v>0.4649010722137823</v>
      </c>
      <c r="G45" s="141">
        <f t="shared" si="10"/>
        <v>0.52431444544983519</v>
      </c>
      <c r="H45" s="141">
        <f t="shared" si="10"/>
        <v>0.54004387881333027</v>
      </c>
      <c r="I45" s="141">
        <f t="shared" si="10"/>
        <v>0.5562451951777303</v>
      </c>
      <c r="J45" s="141">
        <f t="shared" si="10"/>
        <v>0.57293255103306207</v>
      </c>
      <c r="K45" s="141">
        <f t="shared" si="10"/>
        <v>0.59012052756405386</v>
      </c>
      <c r="L45" s="141">
        <f t="shared" si="10"/>
        <v>0.60782414339097568</v>
      </c>
      <c r="M45" s="141">
        <f t="shared" si="10"/>
        <v>0.6260588676927048</v>
      </c>
      <c r="N45" s="141">
        <f t="shared" si="10"/>
        <v>0.64484063372348599</v>
      </c>
      <c r="O45" s="141">
        <f t="shared" si="10"/>
        <v>0.6641858527351906</v>
      </c>
      <c r="P45" s="141">
        <f t="shared" si="10"/>
        <v>0.68411142831724636</v>
      </c>
      <c r="Q45" s="141">
        <f t="shared" si="10"/>
        <v>0.70463477116676365</v>
      </c>
      <c r="R45" s="141">
        <f t="shared" si="10"/>
        <v>0.72577381430176657</v>
      </c>
      <c r="S45" s="141">
        <f t="shared" si="10"/>
        <v>0.74754702873081957</v>
      </c>
      <c r="T45" s="141">
        <f t="shared" si="10"/>
        <v>0.76997343959274422</v>
      </c>
      <c r="U45" s="141">
        <f t="shared" si="10"/>
        <v>0.79307264278052647</v>
      </c>
      <c r="V45" s="141">
        <f t="shared" si="10"/>
        <v>0.8168648220639424</v>
      </c>
      <c r="W45" s="141">
        <f t="shared" si="10"/>
        <v>0.84137076672586064</v>
      </c>
    </row>
    <row r="46" spans="1:23" ht="13">
      <c r="A46" s="3">
        <v>4</v>
      </c>
      <c r="B46" s="3" t="s">
        <v>444</v>
      </c>
      <c r="C46" s="141">
        <f>C44-C45</f>
        <v>5.2037823722731302E-2</v>
      </c>
      <c r="D46" s="141">
        <f t="shared" ref="D46:W46" si="11">D44-D45</f>
        <v>0.12859053347383265</v>
      </c>
      <c r="E46" s="141">
        <f t="shared" si="11"/>
        <v>0.2559074491685786</v>
      </c>
      <c r="F46" s="141">
        <f t="shared" si="11"/>
        <v>0.26911614209076951</v>
      </c>
      <c r="G46" s="141">
        <f t="shared" si="11"/>
        <v>0.27189975429703384</v>
      </c>
      <c r="H46" s="141">
        <f t="shared" si="11"/>
        <v>0.28005674692594473</v>
      </c>
      <c r="I46" s="141">
        <f t="shared" si="11"/>
        <v>0.28845844933372311</v>
      </c>
      <c r="J46" s="141">
        <f t="shared" si="11"/>
        <v>0.29711220281373485</v>
      </c>
      <c r="K46" s="141">
        <f t="shared" si="11"/>
        <v>0.30602556889814703</v>
      </c>
      <c r="L46" s="141">
        <f t="shared" si="11"/>
        <v>0.3152063359650914</v>
      </c>
      <c r="M46" s="141">
        <f t="shared" si="11"/>
        <v>0.32466252604404411</v>
      </c>
      <c r="N46" s="141">
        <f t="shared" si="11"/>
        <v>0.3344024018253654</v>
      </c>
      <c r="O46" s="141">
        <f t="shared" si="11"/>
        <v>0.34443447388012627</v>
      </c>
      <c r="P46" s="141">
        <f t="shared" si="11"/>
        <v>0.35476750809653035</v>
      </c>
      <c r="Q46" s="141">
        <f t="shared" si="11"/>
        <v>0.36541053333942586</v>
      </c>
      <c r="R46" s="141">
        <f t="shared" si="11"/>
        <v>0.37637284933960868</v>
      </c>
      <c r="S46" s="141">
        <f t="shared" si="11"/>
        <v>0.38766403481979717</v>
      </c>
      <c r="T46" s="141">
        <f t="shared" si="11"/>
        <v>0.39929395586439109</v>
      </c>
      <c r="U46" s="141">
        <f t="shared" si="11"/>
        <v>0.41127277454032274</v>
      </c>
      <c r="V46" s="141">
        <f t="shared" si="11"/>
        <v>0.42361095777653246</v>
      </c>
      <c r="W46" s="141">
        <f t="shared" si="11"/>
        <v>0.43631928650982832</v>
      </c>
    </row>
    <row r="48" spans="1:23" ht="13">
      <c r="A48" s="107"/>
      <c r="B48" s="107"/>
      <c r="C48" s="146"/>
      <c r="D48" s="138"/>
      <c r="E48" s="138"/>
      <c r="F48" s="138"/>
      <c r="G48" s="138"/>
      <c r="H48" s="138"/>
      <c r="I48" s="138"/>
      <c r="J48" s="138"/>
      <c r="K48" s="138"/>
      <c r="L48" s="138"/>
      <c r="M48" s="138"/>
      <c r="N48" s="138"/>
      <c r="O48" s="138"/>
      <c r="P48" s="138"/>
      <c r="Q48" s="138"/>
      <c r="R48" s="138"/>
      <c r="S48" s="138"/>
      <c r="T48" s="138"/>
      <c r="U48" s="138"/>
      <c r="V48" s="138"/>
      <c r="W48" s="138"/>
    </row>
    <row r="49" spans="1:23" ht="13">
      <c r="A49" s="107"/>
      <c r="B49" s="107"/>
      <c r="C49" s="146"/>
      <c r="D49" s="138"/>
      <c r="E49" s="138"/>
      <c r="F49" s="138"/>
      <c r="G49" s="138"/>
      <c r="H49" s="138"/>
      <c r="I49" s="138"/>
      <c r="J49" s="138"/>
      <c r="K49" s="138"/>
      <c r="L49" s="138"/>
      <c r="M49" s="138"/>
      <c r="N49" s="138"/>
      <c r="O49" s="138"/>
      <c r="P49" s="138"/>
      <c r="Q49" s="138"/>
      <c r="R49" s="138"/>
      <c r="S49" s="138"/>
      <c r="T49" s="138"/>
      <c r="U49" s="138"/>
      <c r="V49" s="138"/>
      <c r="W49" s="138"/>
    </row>
    <row r="50" spans="1:23" ht="13">
      <c r="A50" s="107"/>
      <c r="B50" s="107"/>
      <c r="C50" s="146"/>
      <c r="D50" s="138"/>
      <c r="E50" s="138"/>
      <c r="F50" s="138"/>
      <c r="G50" s="138"/>
      <c r="H50" s="138"/>
      <c r="I50" s="138"/>
      <c r="J50" s="138"/>
      <c r="K50" s="138"/>
      <c r="L50" s="138"/>
      <c r="M50" s="138"/>
      <c r="N50" s="138"/>
      <c r="O50" s="138"/>
      <c r="P50" s="138"/>
      <c r="Q50" s="138"/>
      <c r="R50" s="138"/>
      <c r="S50" s="138"/>
      <c r="T50" s="138"/>
      <c r="U50" s="138"/>
      <c r="V50" s="138"/>
      <c r="W50" s="138"/>
    </row>
    <row r="51" spans="1:23" ht="13">
      <c r="A51" s="107"/>
      <c r="B51" s="107"/>
      <c r="C51" s="146"/>
      <c r="D51" s="138"/>
      <c r="E51" s="138"/>
      <c r="F51" s="138"/>
      <c r="G51" s="138"/>
      <c r="H51" s="138"/>
      <c r="I51" s="138"/>
      <c r="J51" s="138"/>
      <c r="K51" s="138"/>
      <c r="L51" s="138"/>
      <c r="M51" s="138"/>
      <c r="N51" s="138"/>
      <c r="O51" s="138"/>
      <c r="P51" s="138"/>
      <c r="Q51" s="138"/>
      <c r="R51" s="138"/>
      <c r="S51" s="138"/>
      <c r="T51" s="138"/>
      <c r="U51" s="138"/>
      <c r="V51" s="138"/>
      <c r="W51" s="138"/>
    </row>
    <row r="52" spans="1:23" ht="13">
      <c r="A52" s="107"/>
      <c r="B52" s="107"/>
      <c r="C52" s="146"/>
      <c r="D52" s="138"/>
      <c r="E52" s="138"/>
      <c r="F52" s="138"/>
      <c r="G52" s="138"/>
      <c r="H52" s="138"/>
      <c r="I52" s="138"/>
      <c r="J52" s="138"/>
      <c r="K52" s="138"/>
      <c r="L52" s="138"/>
      <c r="M52" s="138"/>
      <c r="N52" s="138"/>
      <c r="O52" s="138"/>
      <c r="P52" s="138"/>
      <c r="Q52" s="138"/>
      <c r="R52" s="138"/>
      <c r="S52" s="138"/>
      <c r="T52" s="138"/>
      <c r="U52" s="138"/>
      <c r="V52" s="138"/>
      <c r="W52" s="138"/>
    </row>
    <row r="53" spans="1:23" ht="13">
      <c r="A53" s="107"/>
      <c r="B53" s="107"/>
      <c r="C53" s="146"/>
      <c r="D53" s="138"/>
      <c r="E53" s="138"/>
      <c r="F53" s="138"/>
      <c r="G53" s="138"/>
      <c r="H53" s="138"/>
      <c r="I53" s="138"/>
      <c r="J53" s="138"/>
      <c r="K53" s="138"/>
      <c r="L53" s="138"/>
      <c r="M53" s="138"/>
      <c r="N53" s="138"/>
      <c r="O53" s="138"/>
      <c r="P53" s="138"/>
      <c r="Q53" s="138"/>
      <c r="R53" s="138"/>
      <c r="S53" s="138"/>
      <c r="T53" s="138"/>
      <c r="U53" s="138"/>
      <c r="V53" s="138"/>
      <c r="W53" s="138"/>
    </row>
    <row r="54" spans="1:23" ht="13">
      <c r="A54" s="82"/>
    </row>
    <row r="55" spans="1:23" ht="13">
      <c r="A55" s="363" t="s">
        <v>358</v>
      </c>
      <c r="B55" s="363"/>
      <c r="C55" s="363"/>
      <c r="D55" s="363"/>
      <c r="E55" s="363"/>
      <c r="F55" s="363"/>
      <c r="G55" s="363"/>
      <c r="H55" s="363"/>
      <c r="I55" s="363"/>
      <c r="J55" s="363"/>
      <c r="K55" s="363"/>
      <c r="L55" s="363"/>
      <c r="M55" s="363"/>
    </row>
    <row r="56" spans="1:23" ht="13">
      <c r="A56" s="82"/>
      <c r="J56" s="2" t="s">
        <v>456</v>
      </c>
      <c r="K56" s="93">
        <f>218.26/F94*10000</f>
        <v>9.7262514315762267</v>
      </c>
    </row>
    <row r="58" spans="1:23" ht="13">
      <c r="A58" s="130" t="s">
        <v>314</v>
      </c>
      <c r="B58" s="130" t="s">
        <v>315</v>
      </c>
      <c r="C58" s="130" t="s">
        <v>316</v>
      </c>
      <c r="D58" s="130">
        <v>2019</v>
      </c>
      <c r="E58" s="130" t="s">
        <v>317</v>
      </c>
      <c r="F58" s="130">
        <v>2020</v>
      </c>
      <c r="G58" s="130" t="s">
        <v>317</v>
      </c>
      <c r="H58" s="130" t="s">
        <v>318</v>
      </c>
      <c r="I58" s="130" t="s">
        <v>351</v>
      </c>
      <c r="J58" s="174" t="s">
        <v>352</v>
      </c>
    </row>
    <row r="59" spans="1:23">
      <c r="A59" s="355" t="s">
        <v>319</v>
      </c>
      <c r="B59" s="1"/>
      <c r="C59" s="130">
        <v>21137</v>
      </c>
      <c r="D59" s="130">
        <v>21040</v>
      </c>
      <c r="E59" s="130">
        <v>-97</v>
      </c>
      <c r="F59" s="130">
        <v>20812</v>
      </c>
      <c r="G59" s="130">
        <v>-228</v>
      </c>
      <c r="H59" s="130">
        <v>-325</v>
      </c>
      <c r="I59" s="121">
        <f>SUM(I60:I62)</f>
        <v>51125</v>
      </c>
      <c r="J59" s="134">
        <f t="shared" ref="J59:J93" si="12">I59/F59</f>
        <v>2.4565154718431672</v>
      </c>
    </row>
    <row r="60" spans="1:23">
      <c r="A60" s="356"/>
      <c r="B60" s="130" t="s">
        <v>320</v>
      </c>
      <c r="C60" s="130">
        <v>6394</v>
      </c>
      <c r="D60" s="130">
        <v>6333</v>
      </c>
      <c r="E60" s="130">
        <v>-61</v>
      </c>
      <c r="F60" s="130">
        <v>6226</v>
      </c>
      <c r="G60" s="130">
        <v>-107</v>
      </c>
      <c r="H60" s="130">
        <v>-168</v>
      </c>
      <c r="I60" s="121">
        <v>13699</v>
      </c>
      <c r="J60" s="93">
        <f>I60/F60</f>
        <v>2.2002891101831032</v>
      </c>
    </row>
    <row r="61" spans="1:23">
      <c r="A61" s="356"/>
      <c r="B61" s="130" t="s">
        <v>321</v>
      </c>
      <c r="C61" s="130">
        <v>5259</v>
      </c>
      <c r="D61" s="130">
        <v>5310</v>
      </c>
      <c r="E61" s="130">
        <v>51</v>
      </c>
      <c r="F61" s="130">
        <v>5279</v>
      </c>
      <c r="G61" s="130">
        <v>-31</v>
      </c>
      <c r="H61" s="130">
        <v>20</v>
      </c>
      <c r="I61" s="121">
        <v>12311</v>
      </c>
      <c r="J61" s="93">
        <f t="shared" si="12"/>
        <v>2.3320704678916462</v>
      </c>
    </row>
    <row r="62" spans="1:23">
      <c r="A62" s="357"/>
      <c r="B62" s="130" t="s">
        <v>322</v>
      </c>
      <c r="C62" s="130">
        <v>9484</v>
      </c>
      <c r="D62" s="130">
        <v>9397</v>
      </c>
      <c r="E62" s="130">
        <v>-87</v>
      </c>
      <c r="F62" s="130">
        <v>9307</v>
      </c>
      <c r="G62" s="130">
        <v>-90</v>
      </c>
      <c r="H62" s="130">
        <v>-177</v>
      </c>
      <c r="I62" s="121">
        <v>25115</v>
      </c>
      <c r="J62" s="93">
        <f t="shared" si="12"/>
        <v>2.6985065004835072</v>
      </c>
    </row>
    <row r="63" spans="1:23">
      <c r="A63" s="355" t="s">
        <v>323</v>
      </c>
      <c r="C63" s="130">
        <v>90488</v>
      </c>
      <c r="D63" s="130">
        <v>90194</v>
      </c>
      <c r="E63" s="130">
        <v>-294</v>
      </c>
      <c r="F63" s="130">
        <v>89882</v>
      </c>
      <c r="G63" s="130">
        <v>-312</v>
      </c>
      <c r="H63" s="130">
        <v>-606</v>
      </c>
      <c r="I63" s="131">
        <f>SUM(I64:I73)</f>
        <v>525753</v>
      </c>
      <c r="J63" s="134">
        <f t="shared" si="12"/>
        <v>5.8493691729156003</v>
      </c>
    </row>
    <row r="64" spans="1:23">
      <c r="A64" s="356"/>
      <c r="B64" s="130" t="s">
        <v>311</v>
      </c>
      <c r="C64" s="130">
        <v>4522</v>
      </c>
      <c r="D64" s="130">
        <v>4469</v>
      </c>
      <c r="E64" s="130">
        <v>-53</v>
      </c>
      <c r="F64" s="130">
        <v>4418</v>
      </c>
      <c r="G64" s="130">
        <v>-51</v>
      </c>
      <c r="H64" s="130">
        <v>-104</v>
      </c>
      <c r="I64" s="121">
        <v>36103</v>
      </c>
      <c r="J64" s="93">
        <f t="shared" si="12"/>
        <v>8.1717971933001365</v>
      </c>
    </row>
    <row r="65" spans="1:10">
      <c r="A65" s="356"/>
      <c r="B65" s="130" t="s">
        <v>324</v>
      </c>
      <c r="C65" s="130">
        <v>6596</v>
      </c>
      <c r="D65" s="130">
        <v>6579</v>
      </c>
      <c r="E65" s="130">
        <v>-17</v>
      </c>
      <c r="F65" s="130">
        <v>6570</v>
      </c>
      <c r="G65" s="130">
        <v>-9</v>
      </c>
      <c r="H65" s="130">
        <v>-26</v>
      </c>
      <c r="I65" s="121">
        <v>43904</v>
      </c>
      <c r="J65" s="93">
        <f t="shared" si="12"/>
        <v>6.6824961948249619</v>
      </c>
    </row>
    <row r="66" spans="1:10">
      <c r="A66" s="356"/>
      <c r="B66" s="130" t="s">
        <v>310</v>
      </c>
      <c r="C66" s="130">
        <v>17127</v>
      </c>
      <c r="D66" s="130">
        <v>16974</v>
      </c>
      <c r="E66" s="130">
        <v>-153</v>
      </c>
      <c r="F66" s="130">
        <v>16687</v>
      </c>
      <c r="G66" s="130">
        <v>-287</v>
      </c>
      <c r="H66" s="130">
        <v>-440</v>
      </c>
      <c r="I66" s="121">
        <v>110761</v>
      </c>
      <c r="J66" s="93">
        <f t="shared" si="12"/>
        <v>6.6375621741475399</v>
      </c>
    </row>
    <row r="67" spans="1:10">
      <c r="A67" s="356"/>
      <c r="B67" s="130" t="s">
        <v>325</v>
      </c>
      <c r="C67" s="130">
        <v>1545</v>
      </c>
      <c r="D67" s="130">
        <v>1542</v>
      </c>
      <c r="E67" s="130">
        <v>-3</v>
      </c>
      <c r="F67" s="130">
        <v>1551</v>
      </c>
      <c r="G67" s="130">
        <v>9</v>
      </c>
      <c r="H67" s="130">
        <v>6</v>
      </c>
      <c r="I67" s="121">
        <v>5532</v>
      </c>
      <c r="J67" s="93">
        <f t="shared" si="12"/>
        <v>3.5667311411992264</v>
      </c>
    </row>
    <row r="68" spans="1:10">
      <c r="A68" s="356"/>
      <c r="B68" s="130" t="s">
        <v>326</v>
      </c>
      <c r="C68" s="130">
        <v>11685</v>
      </c>
      <c r="D68" s="130">
        <v>11688</v>
      </c>
      <c r="E68" s="130">
        <v>3</v>
      </c>
      <c r="F68" s="130">
        <v>11650</v>
      </c>
      <c r="G68" s="130">
        <v>-38</v>
      </c>
      <c r="H68" s="130">
        <v>-35</v>
      </c>
      <c r="I68" s="121">
        <v>36207</v>
      </c>
      <c r="J68" s="93">
        <f t="shared" si="12"/>
        <v>3.1078969957081544</v>
      </c>
    </row>
    <row r="69" spans="1:10">
      <c r="A69" s="356"/>
      <c r="B69" s="130" t="s">
        <v>327</v>
      </c>
      <c r="C69" s="130">
        <v>13394</v>
      </c>
      <c r="D69" s="130">
        <v>13421</v>
      </c>
      <c r="E69" s="130">
        <v>27</v>
      </c>
      <c r="F69" s="130">
        <v>13433</v>
      </c>
      <c r="G69" s="130">
        <v>12</v>
      </c>
      <c r="H69" s="130">
        <v>39</v>
      </c>
      <c r="I69" s="121">
        <v>102719</v>
      </c>
      <c r="J69" s="93">
        <f t="shared" si="12"/>
        <v>7.6467654284225413</v>
      </c>
    </row>
    <row r="70" spans="1:10">
      <c r="A70" s="356"/>
      <c r="B70" s="130" t="s">
        <v>328</v>
      </c>
      <c r="C70" s="130">
        <v>15452</v>
      </c>
      <c r="D70" s="130">
        <v>15376</v>
      </c>
      <c r="E70" s="130">
        <v>-76</v>
      </c>
      <c r="F70" s="130">
        <v>15313</v>
      </c>
      <c r="G70" s="130">
        <v>-63</v>
      </c>
      <c r="H70" s="130">
        <v>-139</v>
      </c>
      <c r="I70" s="121">
        <v>73129</v>
      </c>
      <c r="J70" s="93">
        <f t="shared" si="12"/>
        <v>4.7756154901064454</v>
      </c>
    </row>
    <row r="71" spans="1:10">
      <c r="A71" s="356"/>
      <c r="B71" s="130" t="s">
        <v>313</v>
      </c>
      <c r="C71" s="130">
        <v>4025</v>
      </c>
      <c r="D71" s="130">
        <v>3997</v>
      </c>
      <c r="E71" s="130">
        <v>-28</v>
      </c>
      <c r="F71" s="130">
        <v>3999</v>
      </c>
      <c r="G71" s="130">
        <v>2</v>
      </c>
      <c r="H71" s="130">
        <v>-26</v>
      </c>
      <c r="I71" s="121">
        <v>38701</v>
      </c>
      <c r="J71" s="93">
        <f t="shared" si="12"/>
        <v>9.6776694173543394</v>
      </c>
    </row>
    <row r="72" spans="1:10">
      <c r="A72" s="356"/>
      <c r="B72" s="130" t="s">
        <v>312</v>
      </c>
      <c r="C72" s="130">
        <v>3123</v>
      </c>
      <c r="D72" s="130">
        <v>3064</v>
      </c>
      <c r="E72" s="130">
        <v>-59</v>
      </c>
      <c r="F72" s="130">
        <v>3015</v>
      </c>
      <c r="G72" s="130">
        <v>-49</v>
      </c>
      <c r="H72" s="130">
        <v>-108</v>
      </c>
      <c r="I72" s="121">
        <v>14084</v>
      </c>
      <c r="J72" s="93">
        <f t="shared" si="12"/>
        <v>4.6713101160862358</v>
      </c>
    </row>
    <row r="73" spans="1:10">
      <c r="A73" s="357"/>
      <c r="B73" s="130" t="s">
        <v>329</v>
      </c>
      <c r="C73" s="130">
        <v>13019</v>
      </c>
      <c r="D73" s="130">
        <v>13084</v>
      </c>
      <c r="E73" s="130">
        <v>65</v>
      </c>
      <c r="F73" s="130">
        <v>13246</v>
      </c>
      <c r="G73" s="130">
        <v>162</v>
      </c>
      <c r="H73" s="130">
        <v>227</v>
      </c>
      <c r="I73" s="121">
        <v>64613</v>
      </c>
      <c r="J73" s="93">
        <f t="shared" si="12"/>
        <v>4.8779254114449646</v>
      </c>
    </row>
    <row r="74" spans="1:10">
      <c r="A74" s="355" t="s">
        <v>330</v>
      </c>
      <c r="B74" s="1"/>
      <c r="C74" s="130">
        <v>61293</v>
      </c>
      <c r="D74" s="130">
        <v>61114</v>
      </c>
      <c r="E74" s="130">
        <v>-179</v>
      </c>
      <c r="F74" s="130">
        <v>61089</v>
      </c>
      <c r="G74" s="130">
        <v>-25</v>
      </c>
      <c r="H74" s="130">
        <v>-204</v>
      </c>
      <c r="I74" s="121">
        <f>SUM(I75:I85)</f>
        <v>188292</v>
      </c>
      <c r="J74" s="134">
        <f t="shared" si="12"/>
        <v>3.0822570348180522</v>
      </c>
    </row>
    <row r="75" spans="1:10">
      <c r="A75" s="356"/>
      <c r="B75" s="130" t="s">
        <v>331</v>
      </c>
      <c r="C75" s="130">
        <v>4895</v>
      </c>
      <c r="D75" s="130">
        <v>4843</v>
      </c>
      <c r="E75" s="130">
        <v>-52</v>
      </c>
      <c r="F75" s="130">
        <v>4715</v>
      </c>
      <c r="G75" s="130">
        <v>-128</v>
      </c>
      <c r="H75" s="130">
        <v>-180</v>
      </c>
      <c r="I75" s="121">
        <v>9017</v>
      </c>
      <c r="J75" s="93">
        <f t="shared" si="12"/>
        <v>1.9124072110286321</v>
      </c>
    </row>
    <row r="76" spans="1:10">
      <c r="A76" s="356"/>
      <c r="B76" s="130" t="s">
        <v>332</v>
      </c>
      <c r="C76" s="130">
        <v>6208</v>
      </c>
      <c r="D76" s="130">
        <v>6250</v>
      </c>
      <c r="E76" s="130">
        <v>42</v>
      </c>
      <c r="F76" s="130">
        <v>6367</v>
      </c>
      <c r="G76" s="130">
        <v>117</v>
      </c>
      <c r="H76" s="130">
        <v>159</v>
      </c>
      <c r="I76" s="121">
        <v>22157</v>
      </c>
      <c r="J76" s="93">
        <f t="shared" si="12"/>
        <v>3.4799748704256324</v>
      </c>
    </row>
    <row r="77" spans="1:10">
      <c r="A77" s="356"/>
      <c r="B77" s="130" t="s">
        <v>333</v>
      </c>
      <c r="C77" s="130">
        <v>5236</v>
      </c>
      <c r="D77" s="130">
        <v>5230</v>
      </c>
      <c r="E77" s="130">
        <v>-6</v>
      </c>
      <c r="F77" s="130">
        <v>5249</v>
      </c>
      <c r="G77" s="130">
        <v>19</v>
      </c>
      <c r="H77" s="130">
        <v>13</v>
      </c>
      <c r="I77" s="121">
        <v>17827</v>
      </c>
      <c r="J77" s="93">
        <f t="shared" si="12"/>
        <v>3.39626595542008</v>
      </c>
    </row>
    <row r="78" spans="1:10">
      <c r="A78" s="356"/>
      <c r="B78" s="130" t="s">
        <v>334</v>
      </c>
      <c r="C78" s="130">
        <v>5662</v>
      </c>
      <c r="D78" s="130">
        <v>5668</v>
      </c>
      <c r="E78" s="130">
        <v>6</v>
      </c>
      <c r="F78" s="130">
        <v>5652</v>
      </c>
      <c r="G78" s="130">
        <v>-16</v>
      </c>
      <c r="H78" s="130">
        <v>-10</v>
      </c>
      <c r="I78" s="121">
        <v>17360</v>
      </c>
      <c r="J78" s="93">
        <f t="shared" si="12"/>
        <v>3.0714791224345364</v>
      </c>
    </row>
    <row r="79" spans="1:10">
      <c r="A79" s="356"/>
      <c r="B79" s="130" t="s">
        <v>335</v>
      </c>
      <c r="C79" s="130">
        <v>1342</v>
      </c>
      <c r="D79" s="130">
        <v>1328</v>
      </c>
      <c r="E79" s="130">
        <v>-14</v>
      </c>
      <c r="F79" s="130">
        <v>1316</v>
      </c>
      <c r="G79" s="130">
        <v>-12</v>
      </c>
      <c r="H79" s="130">
        <v>-26</v>
      </c>
      <c r="I79" s="121">
        <v>3921</v>
      </c>
      <c r="J79" s="93">
        <f t="shared" si="12"/>
        <v>2.9794832826747721</v>
      </c>
    </row>
    <row r="80" spans="1:10">
      <c r="A80" s="356"/>
      <c r="B80" s="130" t="s">
        <v>336</v>
      </c>
      <c r="C80" s="130">
        <v>1113</v>
      </c>
      <c r="D80" s="130">
        <v>1098</v>
      </c>
      <c r="E80" s="130">
        <v>-15</v>
      </c>
      <c r="F80" s="130">
        <v>1095</v>
      </c>
      <c r="G80" s="130">
        <v>-3</v>
      </c>
      <c r="H80" s="130">
        <v>-18</v>
      </c>
      <c r="I80" s="121">
        <v>3006</v>
      </c>
      <c r="J80" s="93">
        <f t="shared" si="12"/>
        <v>2.7452054794520548</v>
      </c>
    </row>
    <row r="81" spans="1:10">
      <c r="A81" s="356"/>
      <c r="B81" s="130" t="s">
        <v>337</v>
      </c>
      <c r="C81" s="130">
        <v>7187</v>
      </c>
      <c r="D81" s="130">
        <v>7163</v>
      </c>
      <c r="E81" s="130">
        <v>-24</v>
      </c>
      <c r="F81" s="130">
        <v>7167</v>
      </c>
      <c r="G81" s="130">
        <v>4</v>
      </c>
      <c r="H81" s="130">
        <v>-20</v>
      </c>
      <c r="I81" s="121">
        <v>26182</v>
      </c>
      <c r="J81" s="93">
        <f t="shared" si="12"/>
        <v>3.6531324124459328</v>
      </c>
    </row>
    <row r="82" spans="1:10">
      <c r="A82" s="356"/>
      <c r="B82" s="130" t="s">
        <v>338</v>
      </c>
      <c r="C82" s="130">
        <v>14112</v>
      </c>
      <c r="D82" s="130">
        <v>14065</v>
      </c>
      <c r="E82" s="130">
        <v>-47</v>
      </c>
      <c r="F82" s="130">
        <v>14080</v>
      </c>
      <c r="G82" s="130">
        <v>15</v>
      </c>
      <c r="H82" s="130">
        <v>-32</v>
      </c>
      <c r="I82" s="121">
        <v>48599</v>
      </c>
      <c r="J82" s="93">
        <f t="shared" si="12"/>
        <v>3.4516335227272728</v>
      </c>
    </row>
    <row r="83" spans="1:10">
      <c r="A83" s="356"/>
      <c r="B83" s="130" t="s">
        <v>339</v>
      </c>
      <c r="C83" s="130">
        <v>712</v>
      </c>
      <c r="D83" s="130">
        <v>717</v>
      </c>
      <c r="E83" s="130">
        <v>5</v>
      </c>
      <c r="F83" s="130">
        <v>725</v>
      </c>
      <c r="G83" s="130">
        <v>8</v>
      </c>
      <c r="H83" s="130">
        <v>13</v>
      </c>
      <c r="I83" s="121">
        <v>1903</v>
      </c>
      <c r="J83" s="93">
        <f t="shared" si="12"/>
        <v>2.6248275862068966</v>
      </c>
    </row>
    <row r="84" spans="1:10">
      <c r="A84" s="356"/>
      <c r="B84" s="130" t="s">
        <v>340</v>
      </c>
      <c r="C84" s="130">
        <v>3666</v>
      </c>
      <c r="D84" s="130">
        <v>3650</v>
      </c>
      <c r="E84" s="130">
        <v>-16</v>
      </c>
      <c r="F84" s="130">
        <v>3636</v>
      </c>
      <c r="G84" s="130">
        <v>-14</v>
      </c>
      <c r="H84" s="130">
        <v>-30</v>
      </c>
      <c r="I84" s="121">
        <v>13798</v>
      </c>
      <c r="J84" s="93">
        <f t="shared" si="12"/>
        <v>3.7948294829482947</v>
      </c>
    </row>
    <row r="85" spans="1:10">
      <c r="A85" s="356"/>
      <c r="B85" s="130" t="s">
        <v>341</v>
      </c>
      <c r="C85" s="130">
        <v>5484</v>
      </c>
      <c r="D85" s="130">
        <v>5451</v>
      </c>
      <c r="E85" s="130">
        <v>-33</v>
      </c>
      <c r="F85" s="130">
        <v>5454</v>
      </c>
      <c r="G85" s="130">
        <v>3</v>
      </c>
      <c r="H85" s="130">
        <v>-30</v>
      </c>
      <c r="I85" s="121">
        <v>24522</v>
      </c>
      <c r="J85" s="93">
        <f t="shared" si="12"/>
        <v>4.4961496149614959</v>
      </c>
    </row>
    <row r="86" spans="1:10">
      <c r="A86" s="357"/>
      <c r="B86" s="130" t="s">
        <v>342</v>
      </c>
      <c r="C86" s="130">
        <v>5676</v>
      </c>
      <c r="D86" s="130">
        <v>5651</v>
      </c>
      <c r="E86" s="130">
        <v>-25</v>
      </c>
      <c r="F86" s="130">
        <v>5633</v>
      </c>
      <c r="G86" s="130">
        <v>-18</v>
      </c>
      <c r="H86" s="130">
        <v>-43</v>
      </c>
      <c r="I86" s="121">
        <v>25003</v>
      </c>
      <c r="J86" s="93">
        <f t="shared" si="12"/>
        <v>4.4386650097638913</v>
      </c>
    </row>
    <row r="87" spans="1:10">
      <c r="A87" s="355" t="s">
        <v>343</v>
      </c>
      <c r="B87" s="1"/>
      <c r="C87" s="130">
        <v>52753</v>
      </c>
      <c r="D87" s="130">
        <v>52734</v>
      </c>
      <c r="E87" s="130">
        <v>-19</v>
      </c>
      <c r="F87" s="130">
        <v>52620</v>
      </c>
      <c r="G87" s="130">
        <v>-114</v>
      </c>
      <c r="H87" s="130">
        <v>-133</v>
      </c>
      <c r="I87" s="131">
        <f>SUM(I88:I93)</f>
        <v>222246</v>
      </c>
      <c r="J87" s="134">
        <f t="shared" si="12"/>
        <v>4.2236031927023943</v>
      </c>
    </row>
    <row r="88" spans="1:10">
      <c r="A88" s="356"/>
      <c r="B88" s="130" t="s">
        <v>344</v>
      </c>
      <c r="C88" s="130">
        <v>8339</v>
      </c>
      <c r="D88" s="130">
        <v>8322</v>
      </c>
      <c r="E88" s="130">
        <v>-17</v>
      </c>
      <c r="F88" s="130">
        <v>8281</v>
      </c>
      <c r="G88" s="130">
        <v>-41</v>
      </c>
      <c r="H88" s="130">
        <v>-58</v>
      </c>
      <c r="I88" s="121">
        <v>38681</v>
      </c>
      <c r="J88" s="93">
        <f t="shared" si="12"/>
        <v>4.6710542205047698</v>
      </c>
    </row>
    <row r="89" spans="1:10">
      <c r="A89" s="356"/>
      <c r="B89" s="130" t="s">
        <v>345</v>
      </c>
      <c r="C89" s="130">
        <v>12778</v>
      </c>
      <c r="D89" s="130">
        <v>12805</v>
      </c>
      <c r="E89" s="130">
        <v>27</v>
      </c>
      <c r="F89" s="130">
        <v>12830</v>
      </c>
      <c r="G89" s="130">
        <v>25</v>
      </c>
      <c r="H89" s="130">
        <v>52</v>
      </c>
      <c r="I89" s="121">
        <v>54997</v>
      </c>
      <c r="J89" s="93">
        <f t="shared" si="12"/>
        <v>4.2865939204988308</v>
      </c>
    </row>
    <row r="90" spans="1:10">
      <c r="A90" s="356"/>
      <c r="B90" s="130" t="s">
        <v>346</v>
      </c>
      <c r="C90" s="130">
        <v>7771</v>
      </c>
      <c r="D90" s="130">
        <v>7742</v>
      </c>
      <c r="E90" s="130">
        <v>-29</v>
      </c>
      <c r="F90" s="130">
        <v>7740</v>
      </c>
      <c r="G90" s="130">
        <v>-2</v>
      </c>
      <c r="H90" s="130">
        <v>-31</v>
      </c>
      <c r="I90" s="121">
        <v>43443</v>
      </c>
      <c r="J90" s="93">
        <f t="shared" si="12"/>
        <v>5.6127906976744182</v>
      </c>
    </row>
    <row r="91" spans="1:10">
      <c r="A91" s="356"/>
      <c r="B91" s="130" t="s">
        <v>347</v>
      </c>
      <c r="C91" s="130">
        <v>9698</v>
      </c>
      <c r="D91" s="130">
        <v>9710</v>
      </c>
      <c r="E91" s="130">
        <v>12</v>
      </c>
      <c r="F91" s="130">
        <v>9666</v>
      </c>
      <c r="G91" s="130">
        <v>-44</v>
      </c>
      <c r="H91" s="130">
        <v>-32</v>
      </c>
      <c r="I91" s="121">
        <v>41781</v>
      </c>
      <c r="J91" s="93">
        <f t="shared" si="12"/>
        <v>4.3224705152079457</v>
      </c>
    </row>
    <row r="92" spans="1:10">
      <c r="A92" s="356"/>
      <c r="B92" s="130" t="s">
        <v>348</v>
      </c>
      <c r="C92" s="130">
        <v>7048</v>
      </c>
      <c r="D92" s="130">
        <v>7016</v>
      </c>
      <c r="E92" s="130">
        <v>-32</v>
      </c>
      <c r="F92" s="130">
        <v>6957</v>
      </c>
      <c r="G92" s="130">
        <v>-59</v>
      </c>
      <c r="H92" s="130">
        <v>-91</v>
      </c>
      <c r="I92" s="121">
        <v>25692</v>
      </c>
      <c r="J92" s="93">
        <f t="shared" si="12"/>
        <v>3.6929711082363088</v>
      </c>
    </row>
    <row r="93" spans="1:10">
      <c r="A93" s="357"/>
      <c r="B93" s="130" t="s">
        <v>349</v>
      </c>
      <c r="C93" s="130">
        <v>7119</v>
      </c>
      <c r="D93" s="130">
        <v>7139</v>
      </c>
      <c r="E93" s="130">
        <v>20</v>
      </c>
      <c r="F93" s="130">
        <v>7146</v>
      </c>
      <c r="G93" s="130">
        <v>7</v>
      </c>
      <c r="H93" s="130">
        <v>27</v>
      </c>
      <c r="I93" s="121">
        <v>17652</v>
      </c>
      <c r="J93" s="93">
        <f t="shared" si="12"/>
        <v>2.470193115029387</v>
      </c>
    </row>
    <row r="94" spans="1:10">
      <c r="A94" s="130" t="s">
        <v>350</v>
      </c>
      <c r="B94" s="1"/>
      <c r="C94" s="130">
        <v>225671</v>
      </c>
      <c r="D94" s="130">
        <v>225082</v>
      </c>
      <c r="E94" s="130">
        <v>-589</v>
      </c>
      <c r="F94" s="130">
        <v>224403</v>
      </c>
      <c r="G94" s="130">
        <v>-679</v>
      </c>
      <c r="H94" s="130">
        <v>-1268</v>
      </c>
      <c r="I94" s="131">
        <f>I87+I74+I63+I59</f>
        <v>987416</v>
      </c>
      <c r="J94" s="93">
        <f>I94/F94</f>
        <v>4.4001907282879467</v>
      </c>
    </row>
    <row r="95" spans="1:10" ht="13">
      <c r="G95" s="132" t="s">
        <v>359</v>
      </c>
      <c r="H95" s="133">
        <v>55651</v>
      </c>
    </row>
    <row r="96" spans="1:10" ht="13">
      <c r="G96" s="2" t="s">
        <v>378</v>
      </c>
      <c r="H96" s="136">
        <f>H95/F94</f>
        <v>0.247995793282621</v>
      </c>
    </row>
    <row r="108" spans="1:6" ht="13">
      <c r="A108" s="2" t="s">
        <v>376</v>
      </c>
      <c r="B108" s="82" t="s">
        <v>366</v>
      </c>
      <c r="C108" s="82" t="s">
        <v>371</v>
      </c>
      <c r="D108" s="82" t="s">
        <v>372</v>
      </c>
      <c r="E108" s="82" t="s">
        <v>373</v>
      </c>
    </row>
    <row r="109" spans="1:6" ht="13">
      <c r="A109" s="2" t="s">
        <v>374</v>
      </c>
      <c r="B109" s="143">
        <v>8361448</v>
      </c>
      <c r="C109" s="143">
        <v>7894000</v>
      </c>
      <c r="D109" s="143">
        <v>4468779</v>
      </c>
      <c r="E109" s="142">
        <f t="shared" ref="E109:E110" si="13">SUM(B109:D109)</f>
        <v>20724227</v>
      </c>
    </row>
    <row r="110" spans="1:6" ht="13">
      <c r="A110" s="2" t="s">
        <v>377</v>
      </c>
      <c r="B110" s="143">
        <v>723750</v>
      </c>
      <c r="C110" s="143">
        <v>624803</v>
      </c>
      <c r="D110" s="143">
        <v>363960</v>
      </c>
      <c r="E110" s="142">
        <f t="shared" si="13"/>
        <v>1712513</v>
      </c>
    </row>
    <row r="111" spans="1:6" ht="13">
      <c r="A111" s="2" t="s">
        <v>365</v>
      </c>
      <c r="B111" s="142">
        <v>2904.82</v>
      </c>
      <c r="C111" s="143">
        <v>203137</v>
      </c>
      <c r="D111" s="143">
        <v>153542</v>
      </c>
      <c r="E111" s="142">
        <f>SUM(B111:D111)</f>
        <v>359583.82</v>
      </c>
    </row>
    <row r="112" spans="1:6" ht="13">
      <c r="A112" s="2" t="s">
        <v>367</v>
      </c>
      <c r="B112" s="143">
        <v>2478</v>
      </c>
      <c r="C112" s="143">
        <v>2086</v>
      </c>
      <c r="D112" s="143">
        <v>1525</v>
      </c>
      <c r="E112" s="142">
        <f>SUM(B112:D112)</f>
        <v>6089</v>
      </c>
      <c r="F112" s="144">
        <f>E112/E111</f>
        <v>1.6933464915078772E-2</v>
      </c>
    </row>
    <row r="113" spans="1:6" ht="13">
      <c r="A113" s="2" t="s">
        <v>370</v>
      </c>
      <c r="B113" s="143">
        <v>122440</v>
      </c>
      <c r="C113" s="143">
        <v>76637</v>
      </c>
      <c r="D113" s="143">
        <v>36754</v>
      </c>
      <c r="E113" s="142">
        <f t="shared" ref="E113:E114" si="14">SUM(B113:D113)</f>
        <v>235831</v>
      </c>
      <c r="F113" s="144">
        <f>E113/E111</f>
        <v>0.65584430356182322</v>
      </c>
    </row>
    <row r="114" spans="1:6" ht="13">
      <c r="A114" s="2" t="s">
        <v>368</v>
      </c>
      <c r="B114" s="143">
        <v>24481</v>
      </c>
      <c r="C114" s="143">
        <v>8956</v>
      </c>
      <c r="D114" s="143">
        <v>7826</v>
      </c>
      <c r="E114" s="142">
        <f t="shared" si="14"/>
        <v>41263</v>
      </c>
      <c r="F114" s="144">
        <f>E114/E113</f>
        <v>0.17496851558955354</v>
      </c>
    </row>
    <row r="115" spans="1:6" ht="13">
      <c r="A115" s="2" t="s">
        <v>369</v>
      </c>
      <c r="B115" s="143">
        <v>97959</v>
      </c>
      <c r="C115" s="143">
        <v>67681</v>
      </c>
      <c r="D115" s="143">
        <v>28928</v>
      </c>
      <c r="E115" s="142">
        <f>SUM(B115:D115)</f>
        <v>194568</v>
      </c>
      <c r="F115" s="144">
        <f>E115/E111</f>
        <v>0.5410921993097465</v>
      </c>
    </row>
    <row r="116" spans="1:6" ht="13">
      <c r="A116" s="2" t="s">
        <v>375</v>
      </c>
      <c r="B116" s="145">
        <f>B115/B110</f>
        <v>0.13534922279792747</v>
      </c>
      <c r="C116" s="145">
        <f t="shared" ref="C116:E116" si="15">C115/C110</f>
        <v>0.10832374364399659</v>
      </c>
      <c r="D116" s="145">
        <f t="shared" si="15"/>
        <v>7.9481261677107368E-2</v>
      </c>
      <c r="E116" s="145">
        <f t="shared" si="15"/>
        <v>0.11361548788242776</v>
      </c>
    </row>
    <row r="204" spans="12:22" ht="12.75" customHeight="1">
      <c r="L204" s="364" t="s">
        <v>617</v>
      </c>
      <c r="M204" s="364"/>
      <c r="N204" s="364"/>
      <c r="O204" s="364"/>
      <c r="P204" s="364"/>
      <c r="Q204" s="364"/>
      <c r="R204" s="364"/>
      <c r="S204" s="364"/>
      <c r="T204" s="364"/>
      <c r="U204" s="364"/>
      <c r="V204" s="364"/>
    </row>
    <row r="205" spans="12:22">
      <c r="L205" s="364"/>
      <c r="M205" s="364"/>
      <c r="N205" s="364"/>
      <c r="O205" s="364"/>
      <c r="P205" s="364"/>
      <c r="Q205" s="364"/>
      <c r="R205" s="364"/>
      <c r="S205" s="364"/>
      <c r="T205" s="364"/>
      <c r="U205" s="364"/>
      <c r="V205" s="364"/>
    </row>
    <row r="206" spans="12:22">
      <c r="L206" s="364"/>
      <c r="M206" s="364"/>
      <c r="N206" s="364"/>
      <c r="O206" s="364"/>
      <c r="P206" s="364"/>
      <c r="Q206" s="364"/>
      <c r="R206" s="364"/>
      <c r="S206" s="364"/>
      <c r="T206" s="364"/>
      <c r="U206" s="364"/>
      <c r="V206" s="364"/>
    </row>
    <row r="207" spans="12:22">
      <c r="L207" s="364"/>
      <c r="M207" s="364"/>
      <c r="N207" s="364"/>
      <c r="O207" s="364"/>
      <c r="P207" s="364"/>
      <c r="Q207" s="364"/>
      <c r="R207" s="364"/>
      <c r="S207" s="364"/>
      <c r="T207" s="364"/>
      <c r="U207" s="364"/>
      <c r="V207" s="364"/>
    </row>
    <row r="208" spans="12:22">
      <c r="L208" s="364"/>
      <c r="M208" s="364"/>
      <c r="N208" s="364"/>
      <c r="O208" s="364"/>
      <c r="P208" s="364"/>
      <c r="Q208" s="364"/>
      <c r="R208" s="364"/>
      <c r="S208" s="364"/>
      <c r="T208" s="364"/>
      <c r="U208" s="364"/>
      <c r="V208" s="364"/>
    </row>
    <row r="209" spans="12:22">
      <c r="L209" s="364"/>
      <c r="M209" s="364"/>
      <c r="N209" s="364"/>
      <c r="O209" s="364"/>
      <c r="P209" s="364"/>
      <c r="Q209" s="364"/>
      <c r="R209" s="364"/>
      <c r="S209" s="364"/>
      <c r="T209" s="364"/>
      <c r="U209" s="364"/>
      <c r="V209" s="364"/>
    </row>
    <row r="258" spans="12:21">
      <c r="L258" s="364" t="s">
        <v>618</v>
      </c>
      <c r="M258" s="365"/>
      <c r="N258" s="365"/>
      <c r="O258" s="365"/>
      <c r="P258" s="365"/>
      <c r="Q258" s="365"/>
      <c r="R258" s="365"/>
      <c r="S258" s="365"/>
      <c r="T258" s="365"/>
      <c r="U258" s="365"/>
    </row>
    <row r="259" spans="12:21">
      <c r="L259" s="365"/>
      <c r="M259" s="365"/>
      <c r="N259" s="365"/>
      <c r="O259" s="365"/>
      <c r="P259" s="365"/>
      <c r="Q259" s="365"/>
      <c r="R259" s="365"/>
      <c r="S259" s="365"/>
      <c r="T259" s="365"/>
      <c r="U259" s="365"/>
    </row>
    <row r="260" spans="12:21">
      <c r="L260" s="365"/>
      <c r="M260" s="365"/>
      <c r="N260" s="365"/>
      <c r="O260" s="365"/>
      <c r="P260" s="365"/>
      <c r="Q260" s="365"/>
      <c r="R260" s="365"/>
      <c r="S260" s="365"/>
      <c r="T260" s="365"/>
      <c r="U260" s="365"/>
    </row>
    <row r="261" spans="12:21">
      <c r="L261" s="365"/>
      <c r="M261" s="365"/>
      <c r="N261" s="365"/>
      <c r="O261" s="365"/>
      <c r="P261" s="365"/>
      <c r="Q261" s="365"/>
      <c r="R261" s="365"/>
      <c r="S261" s="365"/>
      <c r="T261" s="365"/>
      <c r="U261" s="365"/>
    </row>
    <row r="262" spans="12:21">
      <c r="L262" s="365"/>
      <c r="M262" s="365"/>
      <c r="N262" s="365"/>
      <c r="O262" s="365"/>
      <c r="P262" s="365"/>
      <c r="Q262" s="365"/>
      <c r="R262" s="365"/>
      <c r="S262" s="365"/>
      <c r="T262" s="365"/>
      <c r="U262" s="365"/>
    </row>
    <row r="263" spans="12:21">
      <c r="L263" s="365"/>
      <c r="M263" s="365"/>
      <c r="N263" s="365"/>
      <c r="O263" s="365"/>
      <c r="P263" s="365"/>
      <c r="Q263" s="365"/>
      <c r="R263" s="365"/>
      <c r="S263" s="365"/>
      <c r="T263" s="365"/>
      <c r="U263" s="365"/>
    </row>
    <row r="290" spans="2:10" ht="26">
      <c r="B290" s="227" t="s">
        <v>143</v>
      </c>
      <c r="C290" s="227" t="s">
        <v>643</v>
      </c>
      <c r="D290" s="226" t="s">
        <v>644</v>
      </c>
      <c r="E290" s="226" t="s">
        <v>636</v>
      </c>
      <c r="F290" s="226" t="s">
        <v>635</v>
      </c>
      <c r="G290" s="231" t="s">
        <v>645</v>
      </c>
      <c r="H290" s="231" t="s">
        <v>646</v>
      </c>
      <c r="I290" s="231" t="s">
        <v>647</v>
      </c>
    </row>
    <row r="291" spans="2:10" ht="15" customHeight="1">
      <c r="B291" s="227" t="s">
        <v>637</v>
      </c>
      <c r="C291" s="228">
        <v>459000</v>
      </c>
      <c r="D291" s="228">
        <v>26.88</v>
      </c>
      <c r="E291" s="228">
        <v>48</v>
      </c>
      <c r="F291" s="228">
        <v>143</v>
      </c>
      <c r="G291" s="239">
        <f>$C291*D291</f>
        <v>12337920</v>
      </c>
      <c r="H291" s="239">
        <f>$C291*E291</f>
        <v>22032000</v>
      </c>
      <c r="I291" s="239">
        <f>$C291*F291</f>
        <v>65637000</v>
      </c>
      <c r="J291" s="240"/>
    </row>
    <row r="292" spans="2:10" ht="12.75" customHeight="1">
      <c r="B292" s="227" t="s">
        <v>638</v>
      </c>
      <c r="C292" s="228">
        <v>439787</v>
      </c>
      <c r="D292" s="228">
        <v>28.78</v>
      </c>
      <c r="E292" s="228">
        <v>70</v>
      </c>
      <c r="F292" s="228">
        <v>200</v>
      </c>
      <c r="G292" s="239">
        <f t="shared" ref="G292:G296" si="16">$C292*D292</f>
        <v>12657069.860000001</v>
      </c>
      <c r="H292" s="239">
        <f t="shared" ref="H292:H296" si="17">$C292*E292</f>
        <v>30785090</v>
      </c>
      <c r="I292" s="239">
        <f t="shared" ref="I292:I296" si="18">$C292*F292</f>
        <v>87957400</v>
      </c>
      <c r="J292" s="240"/>
    </row>
    <row r="293" spans="2:10" ht="12.75" customHeight="1">
      <c r="B293" s="227" t="s">
        <v>639</v>
      </c>
      <c r="C293" s="228">
        <v>349671</v>
      </c>
      <c r="D293" s="228">
        <v>29.83</v>
      </c>
      <c r="E293" s="228">
        <v>77</v>
      </c>
      <c r="F293" s="228">
        <v>216</v>
      </c>
      <c r="G293" s="239">
        <f t="shared" si="16"/>
        <v>10430685.93</v>
      </c>
      <c r="H293" s="239">
        <f t="shared" si="17"/>
        <v>26924667</v>
      </c>
      <c r="I293" s="239">
        <f t="shared" si="18"/>
        <v>75528936</v>
      </c>
      <c r="J293" s="240"/>
    </row>
    <row r="294" spans="2:10" ht="12.75" customHeight="1">
      <c r="B294" s="227" t="s">
        <v>640</v>
      </c>
      <c r="C294" s="228">
        <v>309084</v>
      </c>
      <c r="D294" s="228">
        <v>28.84</v>
      </c>
      <c r="E294" s="228">
        <v>60</v>
      </c>
      <c r="F294" s="228">
        <v>180</v>
      </c>
      <c r="G294" s="239">
        <f t="shared" si="16"/>
        <v>8913982.5600000005</v>
      </c>
      <c r="H294" s="239">
        <f t="shared" si="17"/>
        <v>18545040</v>
      </c>
      <c r="I294" s="239">
        <f t="shared" si="18"/>
        <v>55635120</v>
      </c>
      <c r="J294" s="240"/>
    </row>
    <row r="295" spans="2:10" ht="12.75" customHeight="1">
      <c r="B295" s="227" t="s">
        <v>641</v>
      </c>
      <c r="C295" s="228">
        <v>194527</v>
      </c>
      <c r="D295" s="228">
        <v>28.92</v>
      </c>
      <c r="E295" s="228">
        <v>36</v>
      </c>
      <c r="F295" s="228">
        <v>160</v>
      </c>
      <c r="G295" s="239">
        <f>$C295*D295</f>
        <v>5625720.8400000008</v>
      </c>
      <c r="H295" s="239">
        <f t="shared" si="17"/>
        <v>7002972</v>
      </c>
      <c r="I295" s="239">
        <f t="shared" si="18"/>
        <v>31124320</v>
      </c>
      <c r="J295" s="240"/>
    </row>
    <row r="296" spans="2:10" ht="12.75" customHeight="1">
      <c r="B296" s="227" t="s">
        <v>642</v>
      </c>
      <c r="C296" s="228">
        <v>90716</v>
      </c>
      <c r="D296" s="228">
        <v>35.94</v>
      </c>
      <c r="E296" s="228">
        <v>86</v>
      </c>
      <c r="F296" s="228">
        <v>271</v>
      </c>
      <c r="G296" s="239">
        <f t="shared" si="16"/>
        <v>3260333.0399999996</v>
      </c>
      <c r="H296" s="239">
        <f t="shared" si="17"/>
        <v>7801576</v>
      </c>
      <c r="I296" s="239">
        <f t="shared" si="18"/>
        <v>24584036</v>
      </c>
      <c r="J296" s="240"/>
    </row>
    <row r="297" spans="2:10" ht="12.75" customHeight="1">
      <c r="B297" s="227" t="s">
        <v>634</v>
      </c>
      <c r="C297" s="228">
        <f>SUM(C291:C296)</f>
        <v>1842785</v>
      </c>
      <c r="D297" s="229">
        <f>G297/C297</f>
        <v>28.883300129966329</v>
      </c>
      <c r="E297" s="229">
        <f>H297/C297</f>
        <v>61.36979897275048</v>
      </c>
      <c r="F297" s="229">
        <f>I297/C297</f>
        <v>184.75666559039715</v>
      </c>
      <c r="G297" s="240">
        <f>SUM(G291:G296)</f>
        <v>53225712.230000004</v>
      </c>
      <c r="H297" s="240">
        <f t="shared" ref="H297:I297" si="19">SUM(H291:H296)</f>
        <v>113091345</v>
      </c>
      <c r="I297" s="240">
        <f t="shared" si="19"/>
        <v>340466812</v>
      </c>
      <c r="J297" s="240"/>
    </row>
    <row r="298" spans="2:10" ht="12.75" customHeight="1">
      <c r="G298" s="240"/>
      <c r="H298" s="240"/>
      <c r="I298" s="240"/>
      <c r="J298" s="240"/>
    </row>
    <row r="299" spans="2:10" ht="12.75" customHeight="1">
      <c r="G299" s="240"/>
      <c r="H299" s="240"/>
      <c r="I299" s="240"/>
      <c r="J299" s="240"/>
    </row>
    <row r="300" spans="2:10" ht="12.75" customHeight="1">
      <c r="G300" s="240"/>
      <c r="H300" s="240"/>
      <c r="I300" s="240"/>
      <c r="J300" s="240"/>
    </row>
    <row r="301" spans="2:10" ht="12.75" customHeight="1">
      <c r="G301" s="240"/>
      <c r="H301" s="240"/>
      <c r="I301" s="240"/>
      <c r="J301" s="240"/>
    </row>
    <row r="302" spans="2:10" ht="12.75" customHeight="1">
      <c r="G302" s="240"/>
      <c r="H302" s="240"/>
      <c r="I302" s="240"/>
      <c r="J302" s="240"/>
    </row>
    <row r="303" spans="2:10" ht="12.75" customHeight="1">
      <c r="G303" s="240"/>
      <c r="H303" s="240"/>
      <c r="I303" s="240"/>
      <c r="J303" s="240"/>
    </row>
    <row r="311" spans="12:22">
      <c r="L311" s="364" t="s">
        <v>619</v>
      </c>
      <c r="M311" s="366"/>
      <c r="N311" s="366"/>
      <c r="O311" s="366"/>
      <c r="P311" s="366"/>
      <c r="Q311" s="366"/>
      <c r="R311" s="366"/>
      <c r="S311" s="366"/>
      <c r="T311" s="366"/>
      <c r="U311" s="366"/>
      <c r="V311" s="366"/>
    </row>
    <row r="312" spans="12:22">
      <c r="L312" s="366"/>
      <c r="M312" s="366"/>
      <c r="N312" s="366"/>
      <c r="O312" s="366"/>
      <c r="P312" s="366"/>
      <c r="Q312" s="366"/>
      <c r="R312" s="366"/>
      <c r="S312" s="366"/>
      <c r="T312" s="366"/>
      <c r="U312" s="366"/>
      <c r="V312" s="366"/>
    </row>
    <row r="313" spans="12:22">
      <c r="L313" s="366"/>
      <c r="M313" s="366"/>
      <c r="N313" s="366"/>
      <c r="O313" s="366"/>
      <c r="P313" s="366"/>
      <c r="Q313" s="366"/>
      <c r="R313" s="366"/>
      <c r="S313" s="366"/>
      <c r="T313" s="366"/>
      <c r="U313" s="366"/>
      <c r="V313" s="366"/>
    </row>
    <row r="314" spans="12:22">
      <c r="L314" s="366"/>
      <c r="M314" s="366"/>
      <c r="N314" s="366"/>
      <c r="O314" s="366"/>
      <c r="P314" s="366"/>
      <c r="Q314" s="366"/>
      <c r="R314" s="366"/>
      <c r="S314" s="366"/>
      <c r="T314" s="366"/>
      <c r="U314" s="366"/>
      <c r="V314" s="366"/>
    </row>
    <row r="315" spans="12:22">
      <c r="L315" s="366"/>
      <c r="M315" s="366"/>
      <c r="N315" s="366"/>
      <c r="O315" s="366"/>
      <c r="P315" s="366"/>
      <c r="Q315" s="366"/>
      <c r="R315" s="366"/>
      <c r="S315" s="366"/>
      <c r="T315" s="366"/>
      <c r="U315" s="366"/>
      <c r="V315" s="366"/>
    </row>
    <row r="316" spans="12:22">
      <c r="L316" s="366"/>
      <c r="M316" s="366"/>
      <c r="N316" s="366"/>
      <c r="O316" s="366"/>
      <c r="P316" s="366"/>
      <c r="Q316" s="366"/>
      <c r="R316" s="366"/>
      <c r="S316" s="366"/>
      <c r="T316" s="366"/>
      <c r="U316" s="366"/>
      <c r="V316" s="366"/>
    </row>
    <row r="317" spans="12:22">
      <c r="L317" s="366"/>
      <c r="M317" s="366"/>
      <c r="N317" s="366"/>
      <c r="O317" s="366"/>
      <c r="P317" s="366"/>
      <c r="Q317" s="366"/>
      <c r="R317" s="366"/>
      <c r="S317" s="366"/>
      <c r="T317" s="366"/>
      <c r="U317" s="366"/>
      <c r="V317" s="366"/>
    </row>
    <row r="318" spans="12:22">
      <c r="L318" s="366"/>
      <c r="M318" s="366"/>
      <c r="N318" s="366"/>
      <c r="O318" s="366"/>
      <c r="P318" s="366"/>
      <c r="Q318" s="366"/>
      <c r="R318" s="366"/>
      <c r="S318" s="366"/>
      <c r="T318" s="366"/>
      <c r="U318" s="366"/>
      <c r="V318" s="366"/>
    </row>
    <row r="319" spans="12:22">
      <c r="L319" s="366"/>
      <c r="M319" s="366"/>
      <c r="N319" s="366"/>
      <c r="O319" s="366"/>
      <c r="P319" s="366"/>
      <c r="Q319" s="366"/>
      <c r="R319" s="366"/>
      <c r="S319" s="366"/>
      <c r="T319" s="366"/>
      <c r="U319" s="366"/>
      <c r="V319" s="366"/>
    </row>
    <row r="320" spans="12:22">
      <c r="L320" s="366"/>
      <c r="M320" s="366"/>
      <c r="N320" s="366"/>
      <c r="O320" s="366"/>
      <c r="P320" s="366"/>
      <c r="Q320" s="366"/>
      <c r="R320" s="366"/>
      <c r="S320" s="366"/>
      <c r="T320" s="366"/>
      <c r="U320" s="366"/>
      <c r="V320" s="366"/>
    </row>
    <row r="363" spans="12:12" ht="21">
      <c r="L363" s="233" t="s">
        <v>620</v>
      </c>
    </row>
    <row r="416" spans="2:10">
      <c r="B416" s="364" t="s">
        <v>621</v>
      </c>
      <c r="C416" s="366"/>
      <c r="D416" s="366"/>
      <c r="E416" s="366"/>
      <c r="F416" s="366"/>
      <c r="G416" s="366"/>
      <c r="H416" s="366"/>
      <c r="I416" s="366"/>
      <c r="J416" s="366"/>
    </row>
    <row r="417" spans="2:10">
      <c r="B417" s="366"/>
      <c r="C417" s="366"/>
      <c r="D417" s="366"/>
      <c r="E417" s="366"/>
      <c r="F417" s="366"/>
      <c r="G417" s="366"/>
      <c r="H417" s="366"/>
      <c r="I417" s="366"/>
      <c r="J417" s="366"/>
    </row>
    <row r="418" spans="2:10">
      <c r="B418" s="366"/>
      <c r="C418" s="366"/>
      <c r="D418" s="366"/>
      <c r="E418" s="366"/>
      <c r="F418" s="366"/>
      <c r="G418" s="366"/>
      <c r="H418" s="366"/>
      <c r="I418" s="366"/>
      <c r="J418" s="366"/>
    </row>
    <row r="419" spans="2:10">
      <c r="B419" s="366"/>
      <c r="C419" s="366"/>
      <c r="D419" s="366"/>
      <c r="E419" s="366"/>
      <c r="F419" s="366"/>
      <c r="G419" s="366"/>
      <c r="H419" s="366"/>
      <c r="I419" s="366"/>
      <c r="J419" s="366"/>
    </row>
    <row r="420" spans="2:10">
      <c r="B420" s="366"/>
      <c r="C420" s="366"/>
      <c r="D420" s="366"/>
      <c r="E420" s="366"/>
      <c r="F420" s="366"/>
      <c r="G420" s="366"/>
      <c r="H420" s="366"/>
      <c r="I420" s="366"/>
      <c r="J420" s="366"/>
    </row>
    <row r="421" spans="2:10">
      <c r="B421" s="366"/>
      <c r="C421" s="366"/>
      <c r="D421" s="366"/>
      <c r="E421" s="366"/>
      <c r="F421" s="366"/>
      <c r="G421" s="366"/>
      <c r="H421" s="366"/>
      <c r="I421" s="366"/>
      <c r="J421" s="366"/>
    </row>
    <row r="422" spans="2:10">
      <c r="B422" s="366"/>
      <c r="C422" s="366"/>
      <c r="D422" s="366"/>
      <c r="E422" s="366"/>
      <c r="F422" s="366"/>
      <c r="G422" s="366"/>
      <c r="H422" s="366"/>
      <c r="I422" s="366"/>
      <c r="J422" s="366"/>
    </row>
    <row r="423" spans="2:10">
      <c r="B423" s="366"/>
      <c r="C423" s="366"/>
      <c r="D423" s="366"/>
      <c r="E423" s="366"/>
      <c r="F423" s="366"/>
      <c r="G423" s="366"/>
      <c r="H423" s="366"/>
      <c r="I423" s="366"/>
      <c r="J423" s="366"/>
    </row>
    <row r="424" spans="2:10">
      <c r="B424" s="366"/>
      <c r="C424" s="366"/>
      <c r="D424" s="366"/>
      <c r="E424" s="366"/>
      <c r="F424" s="366"/>
      <c r="G424" s="366"/>
      <c r="H424" s="366"/>
      <c r="I424" s="366"/>
      <c r="J424" s="366"/>
    </row>
  </sheetData>
  <mergeCells count="22">
    <mergeCell ref="A74:A86"/>
    <mergeCell ref="A55:M55"/>
    <mergeCell ref="L258:U263"/>
    <mergeCell ref="L311:V320"/>
    <mergeCell ref="B416:J424"/>
    <mergeCell ref="L204:V209"/>
    <mergeCell ref="A87:A93"/>
    <mergeCell ref="L2:L5"/>
    <mergeCell ref="K2:K5"/>
    <mergeCell ref="A59:A62"/>
    <mergeCell ref="A63:A73"/>
    <mergeCell ref="A25:W25"/>
    <mergeCell ref="A33:W33"/>
    <mergeCell ref="A41:W41"/>
    <mergeCell ref="H2:H5"/>
    <mergeCell ref="I2:I5"/>
    <mergeCell ref="J2:J5"/>
    <mergeCell ref="G2:G5"/>
    <mergeCell ref="F2:F5"/>
    <mergeCell ref="E2:E5"/>
    <mergeCell ref="A9:W9"/>
    <mergeCell ref="A16:W16"/>
  </mergeCells>
  <phoneticPr fontId="7" type="noConversion"/>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W262"/>
  <sheetViews>
    <sheetView topLeftCell="A118" workbookViewId="0">
      <selection activeCell="F38" sqref="F38"/>
    </sheetView>
  </sheetViews>
  <sheetFormatPr defaultRowHeight="12.5"/>
  <cols>
    <col min="1" max="1" width="20.81640625" customWidth="1"/>
    <col min="2" max="2" width="25.1796875" customWidth="1"/>
    <col min="3" max="3" width="22.81640625" customWidth="1"/>
    <col min="4" max="4" width="17" customWidth="1"/>
    <col min="5" max="5" width="22.81640625" customWidth="1"/>
    <col min="6" max="6" width="19.1796875" customWidth="1"/>
    <col min="7" max="7" width="16.54296875" bestFit="1" customWidth="1"/>
    <col min="8" max="8" width="17.1796875" customWidth="1"/>
    <col min="9" max="9" width="16" customWidth="1"/>
    <col min="10" max="10" width="16.1796875" customWidth="1"/>
  </cols>
  <sheetData>
    <row r="1" spans="1:23" ht="15.5">
      <c r="A1" s="105"/>
      <c r="B1" s="7" t="s">
        <v>150</v>
      </c>
      <c r="C1" s="6" t="s">
        <v>151</v>
      </c>
      <c r="D1" s="6" t="s">
        <v>152</v>
      </c>
      <c r="E1" s="6" t="s">
        <v>153</v>
      </c>
      <c r="F1" s="7" t="s">
        <v>154</v>
      </c>
    </row>
    <row r="2" spans="1:23" ht="39">
      <c r="A2" s="3" t="s">
        <v>167</v>
      </c>
      <c r="B2" s="3" t="s">
        <v>273</v>
      </c>
      <c r="C2" s="3" t="s">
        <v>155</v>
      </c>
      <c r="D2" s="3" t="s">
        <v>157</v>
      </c>
      <c r="E2" s="106" t="s">
        <v>156</v>
      </c>
      <c r="F2" s="3" t="s">
        <v>158</v>
      </c>
    </row>
    <row r="3" spans="1:23" ht="13">
      <c r="A3" s="3" t="s">
        <v>168</v>
      </c>
      <c r="B3" s="3" t="s">
        <v>274</v>
      </c>
      <c r="C3" s="3" t="s">
        <v>159</v>
      </c>
      <c r="D3" s="3" t="s">
        <v>159</v>
      </c>
      <c r="E3" s="3" t="s">
        <v>160</v>
      </c>
      <c r="F3" s="3" t="s">
        <v>161</v>
      </c>
    </row>
    <row r="4" spans="1:23" ht="26">
      <c r="A4" s="3" t="s">
        <v>169</v>
      </c>
      <c r="B4" s="7" t="s">
        <v>162</v>
      </c>
      <c r="C4" s="3" t="s">
        <v>166</v>
      </c>
      <c r="D4" s="3" t="s">
        <v>163</v>
      </c>
      <c r="E4" s="3" t="s">
        <v>164</v>
      </c>
      <c r="F4" s="3" t="s">
        <v>165</v>
      </c>
    </row>
    <row r="5" spans="1:23" ht="13">
      <c r="A5" s="107"/>
      <c r="B5" s="108"/>
      <c r="C5" s="107"/>
      <c r="D5" s="107"/>
      <c r="E5" s="107"/>
      <c r="F5" s="107"/>
    </row>
    <row r="6" spans="1:23" ht="13">
      <c r="A6" s="119"/>
      <c r="B6" s="120" t="s">
        <v>384</v>
      </c>
      <c r="C6" s="119" t="s">
        <v>388</v>
      </c>
      <c r="D6" s="119" t="s">
        <v>435</v>
      </c>
      <c r="E6" s="119"/>
      <c r="F6" s="107" t="s">
        <v>387</v>
      </c>
      <c r="G6" s="82" t="s">
        <v>385</v>
      </c>
      <c r="H6" s="82" t="s">
        <v>386</v>
      </c>
    </row>
    <row r="7" spans="1:23" ht="13">
      <c r="A7" s="119" t="s">
        <v>150</v>
      </c>
      <c r="B7" s="147">
        <v>0.26419999999999999</v>
      </c>
      <c r="C7" s="117">
        <f>1-H7</f>
        <v>0.49309999999999998</v>
      </c>
      <c r="D7" s="153">
        <f>F7/$F$12</f>
        <v>0.26475263904839558</v>
      </c>
      <c r="E7" s="119"/>
      <c r="F7" s="152">
        <v>1439797.1350110001</v>
      </c>
      <c r="G7" s="152">
        <v>854048.31724200002</v>
      </c>
      <c r="H7" s="150">
        <v>0.50690000000000002</v>
      </c>
    </row>
    <row r="8" spans="1:23" ht="13">
      <c r="A8" s="119" t="s">
        <v>151</v>
      </c>
      <c r="B8" s="148">
        <f>POWER(672.11/180,1/8)-1</f>
        <v>0.17901948229171771</v>
      </c>
      <c r="C8" s="117">
        <f t="shared" ref="C8:C11" si="0">1-H8</f>
        <v>0.39959999999999996</v>
      </c>
      <c r="D8" s="153">
        <f t="shared" ref="D8:D11" si="1">F8/$F$12</f>
        <v>0.11929296053845757</v>
      </c>
      <c r="E8" s="119"/>
      <c r="F8" s="152">
        <v>648747.68926800007</v>
      </c>
      <c r="G8" s="152">
        <v>259234.42018099999</v>
      </c>
      <c r="H8" s="150">
        <v>0.60040000000000004</v>
      </c>
    </row>
    <row r="9" spans="1:23" ht="13">
      <c r="A9" s="119" t="s">
        <v>243</v>
      </c>
      <c r="B9" s="148">
        <f>POWER( 299.6/260,1/5)-1</f>
        <v>2.8759105626257719E-2</v>
      </c>
      <c r="C9" s="117">
        <f t="shared" si="0"/>
        <v>0.50449999999999995</v>
      </c>
      <c r="D9" s="153">
        <f t="shared" si="1"/>
        <v>0.17581052426590593</v>
      </c>
      <c r="E9" s="119"/>
      <c r="F9" s="152">
        <v>956105.63147800008</v>
      </c>
      <c r="G9" s="152">
        <v>482317.41469899996</v>
      </c>
      <c r="H9" s="150">
        <v>0.4955</v>
      </c>
    </row>
    <row r="10" spans="1:23" ht="13">
      <c r="A10" s="119" t="s">
        <v>244</v>
      </c>
      <c r="B10" s="148">
        <f>POWER( 1500/1000,1/6)-1</f>
        <v>6.991319393366302E-2</v>
      </c>
      <c r="C10" s="117">
        <f t="shared" si="0"/>
        <v>0.67120000000000002</v>
      </c>
      <c r="D10" s="153">
        <f t="shared" si="1"/>
        <v>0.19362995892164195</v>
      </c>
      <c r="E10" s="119"/>
      <c r="F10" s="152">
        <v>1053012.5822719999</v>
      </c>
      <c r="G10" s="152">
        <v>706770.53029700008</v>
      </c>
      <c r="H10" s="150">
        <v>0.32879999999999998</v>
      </c>
    </row>
    <row r="11" spans="1:23" ht="13">
      <c r="A11" s="119" t="s">
        <v>154</v>
      </c>
      <c r="B11" s="147">
        <v>0.13550000000000001</v>
      </c>
      <c r="C11" s="117">
        <f t="shared" si="0"/>
        <v>0.79969999999999997</v>
      </c>
      <c r="D11" s="153">
        <f t="shared" si="1"/>
        <v>0.24651391722559896</v>
      </c>
      <c r="E11" s="119"/>
      <c r="F11" s="152">
        <v>1340609.9861270001</v>
      </c>
      <c r="G11" s="152">
        <v>1072077.747436</v>
      </c>
      <c r="H11" s="150">
        <v>0.20030000000000001</v>
      </c>
    </row>
    <row r="12" spans="1:23" ht="13">
      <c r="A12" s="107"/>
      <c r="B12" s="108"/>
      <c r="C12" s="107"/>
      <c r="D12" s="107"/>
      <c r="E12" s="107"/>
      <c r="F12" s="152">
        <f>SUM(F7:F11)</f>
        <v>5438273.0241560005</v>
      </c>
    </row>
    <row r="13" spans="1:23" ht="13">
      <c r="A13" s="107"/>
      <c r="B13" s="108"/>
      <c r="C13" s="107"/>
      <c r="D13" s="107"/>
      <c r="E13" s="107"/>
      <c r="F13" s="107"/>
    </row>
    <row r="14" spans="1:23" ht="13">
      <c r="A14" s="107"/>
      <c r="B14" s="108"/>
      <c r="C14" s="107"/>
      <c r="D14" s="107"/>
      <c r="E14" s="107"/>
      <c r="F14" s="107"/>
    </row>
    <row r="15" spans="1:23" ht="13">
      <c r="A15" s="86"/>
      <c r="B15" s="82"/>
      <c r="C15" s="86"/>
      <c r="D15" s="86"/>
      <c r="E15" s="86"/>
      <c r="F15" s="86"/>
    </row>
    <row r="16" spans="1:23" ht="13">
      <c r="A16" s="358" t="s">
        <v>364</v>
      </c>
      <c r="B16" s="359"/>
      <c r="C16" s="359"/>
      <c r="D16" s="359"/>
      <c r="E16" s="359"/>
      <c r="F16" s="359"/>
      <c r="G16" s="359"/>
      <c r="H16" s="359"/>
      <c r="I16" s="359"/>
      <c r="J16" s="359"/>
      <c r="K16" s="359"/>
      <c r="L16" s="359"/>
      <c r="M16" s="359"/>
      <c r="N16" s="359"/>
      <c r="O16" s="359"/>
      <c r="P16" s="359"/>
      <c r="Q16" s="359"/>
      <c r="R16" s="359"/>
      <c r="S16" s="359"/>
      <c r="T16" s="359"/>
      <c r="U16" s="359"/>
      <c r="V16" s="359"/>
      <c r="W16" s="360"/>
    </row>
    <row r="17" spans="1:23" ht="15">
      <c r="A17" s="33" t="s">
        <v>0</v>
      </c>
      <c r="B17" s="33" t="s">
        <v>6</v>
      </c>
      <c r="C17" s="33" t="s">
        <v>220</v>
      </c>
      <c r="D17" s="33" t="s">
        <v>221</v>
      </c>
      <c r="E17" s="33" t="s">
        <v>222</v>
      </c>
      <c r="F17" s="33" t="s">
        <v>223</v>
      </c>
      <c r="G17" s="33" t="s">
        <v>224</v>
      </c>
      <c r="H17" s="33" t="s">
        <v>225</v>
      </c>
      <c r="I17" s="33" t="s">
        <v>226</v>
      </c>
      <c r="J17" s="33" t="s">
        <v>227</v>
      </c>
      <c r="K17" s="33" t="s">
        <v>228</v>
      </c>
      <c r="L17" s="33" t="s">
        <v>229</v>
      </c>
      <c r="M17" s="33" t="s">
        <v>230</v>
      </c>
      <c r="N17" s="33" t="s">
        <v>231</v>
      </c>
      <c r="O17" s="33" t="s">
        <v>232</v>
      </c>
      <c r="P17" s="33" t="s">
        <v>233</v>
      </c>
      <c r="Q17" s="33" t="s">
        <v>234</v>
      </c>
      <c r="R17" s="33" t="s">
        <v>235</v>
      </c>
      <c r="S17" s="33" t="s">
        <v>236</v>
      </c>
      <c r="T17" s="33" t="s">
        <v>237</v>
      </c>
      <c r="U17" s="33" t="s">
        <v>238</v>
      </c>
      <c r="V17" s="33" t="s">
        <v>239</v>
      </c>
      <c r="W17" s="33" t="s">
        <v>240</v>
      </c>
    </row>
    <row r="18" spans="1:23" ht="13">
      <c r="A18" s="3">
        <v>1</v>
      </c>
      <c r="B18" s="3" t="s">
        <v>241</v>
      </c>
      <c r="C18" s="118">
        <v>0.3</v>
      </c>
      <c r="D18" s="118">
        <v>0.5</v>
      </c>
      <c r="E18" s="118">
        <v>0.8</v>
      </c>
      <c r="F18" s="118">
        <v>0.9</v>
      </c>
      <c r="G18" s="118">
        <v>0.95</v>
      </c>
      <c r="H18" s="118">
        <v>0.95</v>
      </c>
      <c r="I18" s="118">
        <v>0.95</v>
      </c>
      <c r="J18" s="118">
        <v>0.95</v>
      </c>
      <c r="K18" s="118">
        <v>0.95</v>
      </c>
      <c r="L18" s="118">
        <v>0.95</v>
      </c>
      <c r="M18" s="118">
        <v>0.95</v>
      </c>
      <c r="N18" s="118">
        <v>0.95</v>
      </c>
      <c r="O18" s="118">
        <v>0.95</v>
      </c>
      <c r="P18" s="118">
        <v>0.95</v>
      </c>
      <c r="Q18" s="118">
        <v>0.95</v>
      </c>
      <c r="R18" s="118">
        <v>0.95</v>
      </c>
      <c r="S18" s="118">
        <v>0.95</v>
      </c>
      <c r="T18" s="118">
        <v>0.95</v>
      </c>
      <c r="U18" s="118">
        <v>0.95</v>
      </c>
      <c r="V18" s="118">
        <v>0.95</v>
      </c>
      <c r="W18" s="118">
        <v>0.95</v>
      </c>
    </row>
    <row r="19" spans="1:23" ht="13">
      <c r="A19" s="3">
        <v>2</v>
      </c>
      <c r="B19" s="3" t="s">
        <v>242</v>
      </c>
      <c r="C19" s="118">
        <v>0.2</v>
      </c>
      <c r="D19" s="118">
        <v>0.3</v>
      </c>
      <c r="E19" s="118">
        <v>0.5</v>
      </c>
      <c r="F19" s="118">
        <v>0.6</v>
      </c>
      <c r="G19" s="118">
        <v>0.8</v>
      </c>
      <c r="H19" s="118">
        <v>0.95</v>
      </c>
      <c r="I19" s="118">
        <v>0.95</v>
      </c>
      <c r="J19" s="118">
        <v>0.95</v>
      </c>
      <c r="K19" s="118">
        <v>0.95</v>
      </c>
      <c r="L19" s="118">
        <v>0.95</v>
      </c>
      <c r="M19" s="118">
        <v>0.95</v>
      </c>
      <c r="N19" s="118">
        <v>0.95</v>
      </c>
      <c r="O19" s="118">
        <v>0.95</v>
      </c>
      <c r="P19" s="118">
        <v>0.95</v>
      </c>
      <c r="Q19" s="118">
        <v>0.95</v>
      </c>
      <c r="R19" s="118">
        <v>0.95</v>
      </c>
      <c r="S19" s="118">
        <v>0.95</v>
      </c>
      <c r="T19" s="118">
        <v>0.95</v>
      </c>
      <c r="U19" s="118">
        <v>0.95</v>
      </c>
      <c r="V19" s="118">
        <v>0.95</v>
      </c>
      <c r="W19" s="118">
        <v>0.95</v>
      </c>
    </row>
    <row r="20" spans="1:23" ht="13">
      <c r="A20" s="3">
        <v>3</v>
      </c>
      <c r="B20" s="3" t="s">
        <v>243</v>
      </c>
      <c r="C20" s="118">
        <v>0.6</v>
      </c>
      <c r="D20" s="118">
        <v>0.8</v>
      </c>
      <c r="E20" s="118">
        <v>0.9</v>
      </c>
      <c r="F20" s="118">
        <v>0.95</v>
      </c>
      <c r="G20" s="118">
        <v>0.95</v>
      </c>
      <c r="H20" s="118">
        <v>0.95</v>
      </c>
      <c r="I20" s="118">
        <v>0.95</v>
      </c>
      <c r="J20" s="118">
        <v>0.95</v>
      </c>
      <c r="K20" s="118">
        <v>0.95</v>
      </c>
      <c r="L20" s="118">
        <v>0.95</v>
      </c>
      <c r="M20" s="118">
        <v>0.95</v>
      </c>
      <c r="N20" s="118">
        <v>0.95</v>
      </c>
      <c r="O20" s="118">
        <v>0.95</v>
      </c>
      <c r="P20" s="118">
        <v>0.95</v>
      </c>
      <c r="Q20" s="118">
        <v>0.95</v>
      </c>
      <c r="R20" s="118">
        <v>0.95</v>
      </c>
      <c r="S20" s="118">
        <v>0.95</v>
      </c>
      <c r="T20" s="118">
        <v>0.95</v>
      </c>
      <c r="U20" s="118">
        <v>0.95</v>
      </c>
      <c r="V20" s="118">
        <v>0.95</v>
      </c>
      <c r="W20" s="118">
        <v>0.95</v>
      </c>
    </row>
    <row r="21" spans="1:23" ht="13">
      <c r="A21" s="3">
        <v>4</v>
      </c>
      <c r="B21" s="3" t="s">
        <v>244</v>
      </c>
      <c r="C21" s="118">
        <v>0.3</v>
      </c>
      <c r="D21" s="118">
        <v>0.5</v>
      </c>
      <c r="E21" s="118">
        <v>0.8</v>
      </c>
      <c r="F21" s="118">
        <v>0.9</v>
      </c>
      <c r="G21" s="118">
        <v>0.95</v>
      </c>
      <c r="H21" s="118">
        <v>0.95</v>
      </c>
      <c r="I21" s="118">
        <v>0.95</v>
      </c>
      <c r="J21" s="118">
        <v>0.95</v>
      </c>
      <c r="K21" s="118">
        <v>0.95</v>
      </c>
      <c r="L21" s="118">
        <v>0.95</v>
      </c>
      <c r="M21" s="118">
        <v>0.95</v>
      </c>
      <c r="N21" s="118">
        <v>0.95</v>
      </c>
      <c r="O21" s="118">
        <v>0.95</v>
      </c>
      <c r="P21" s="118">
        <v>0.95</v>
      </c>
      <c r="Q21" s="118">
        <v>0.95</v>
      </c>
      <c r="R21" s="118">
        <v>0.95</v>
      </c>
      <c r="S21" s="118">
        <v>0.95</v>
      </c>
      <c r="T21" s="118">
        <v>0.95</v>
      </c>
      <c r="U21" s="118">
        <v>0.95</v>
      </c>
      <c r="V21" s="118">
        <v>0.95</v>
      </c>
      <c r="W21" s="118">
        <v>0.95</v>
      </c>
    </row>
    <row r="22" spans="1:23" ht="13">
      <c r="A22" s="3">
        <v>5</v>
      </c>
      <c r="B22" s="3" t="s">
        <v>245</v>
      </c>
      <c r="C22" s="118">
        <v>0.8</v>
      </c>
      <c r="D22" s="118">
        <v>0.8</v>
      </c>
      <c r="E22" s="118">
        <v>0.8</v>
      </c>
      <c r="F22" s="118">
        <v>0.8</v>
      </c>
      <c r="G22" s="118">
        <v>0.95</v>
      </c>
      <c r="H22" s="118">
        <v>0.95</v>
      </c>
      <c r="I22" s="118">
        <v>0.95</v>
      </c>
      <c r="J22" s="118">
        <v>0.95</v>
      </c>
      <c r="K22" s="118">
        <v>0.95</v>
      </c>
      <c r="L22" s="118">
        <v>0.95</v>
      </c>
      <c r="M22" s="118">
        <v>0.95</v>
      </c>
      <c r="N22" s="118">
        <v>0.95</v>
      </c>
      <c r="O22" s="118">
        <v>0.95</v>
      </c>
      <c r="P22" s="118">
        <v>0.95</v>
      </c>
      <c r="Q22" s="118">
        <v>0.95</v>
      </c>
      <c r="R22" s="118">
        <v>0.95</v>
      </c>
      <c r="S22" s="118">
        <v>0.95</v>
      </c>
      <c r="T22" s="118">
        <v>0.95</v>
      </c>
      <c r="U22" s="118">
        <v>0.95</v>
      </c>
      <c r="V22" s="118">
        <v>0.95</v>
      </c>
      <c r="W22" s="118">
        <v>0.95</v>
      </c>
    </row>
    <row r="23" spans="1:23" ht="13">
      <c r="A23" s="3" t="s">
        <v>76</v>
      </c>
      <c r="B23" s="3"/>
      <c r="C23" s="3"/>
      <c r="D23" s="3"/>
      <c r="E23" s="3"/>
      <c r="F23" s="3"/>
      <c r="G23" s="1"/>
      <c r="H23" s="1"/>
      <c r="I23" s="1"/>
      <c r="J23" s="1"/>
      <c r="K23" s="1"/>
      <c r="L23" s="1"/>
      <c r="M23" s="1"/>
      <c r="N23" s="1"/>
      <c r="O23" s="1"/>
      <c r="P23" s="1"/>
      <c r="Q23" s="1"/>
      <c r="R23" s="1"/>
      <c r="S23" s="1"/>
      <c r="T23" s="1"/>
      <c r="U23" s="1"/>
      <c r="V23" s="1"/>
      <c r="W23" s="1"/>
    </row>
    <row r="24" spans="1:23" ht="13">
      <c r="A24" s="358" t="s">
        <v>246</v>
      </c>
      <c r="B24" s="359"/>
      <c r="C24" s="359"/>
      <c r="D24" s="359"/>
      <c r="E24" s="359"/>
      <c r="F24" s="359"/>
      <c r="G24" s="359"/>
      <c r="H24" s="359"/>
      <c r="I24" s="359"/>
      <c r="J24" s="359"/>
      <c r="K24" s="359"/>
      <c r="L24" s="359"/>
      <c r="M24" s="359"/>
      <c r="N24" s="359"/>
      <c r="O24" s="359"/>
      <c r="P24" s="359"/>
      <c r="Q24" s="359"/>
      <c r="R24" s="359"/>
      <c r="S24" s="359"/>
      <c r="T24" s="359"/>
      <c r="U24" s="359"/>
      <c r="V24" s="359"/>
      <c r="W24" s="360"/>
    </row>
    <row r="25" spans="1:23" ht="15">
      <c r="A25" s="33" t="s">
        <v>0</v>
      </c>
      <c r="B25" s="33" t="s">
        <v>6</v>
      </c>
      <c r="C25" s="33" t="s">
        <v>220</v>
      </c>
      <c r="D25" s="33" t="s">
        <v>221</v>
      </c>
      <c r="E25" s="33" t="s">
        <v>222</v>
      </c>
      <c r="F25" s="33" t="s">
        <v>223</v>
      </c>
      <c r="G25" s="33" t="s">
        <v>224</v>
      </c>
      <c r="H25" s="33" t="s">
        <v>225</v>
      </c>
      <c r="I25" s="33" t="s">
        <v>226</v>
      </c>
      <c r="J25" s="33" t="s">
        <v>227</v>
      </c>
      <c r="K25" s="33" t="s">
        <v>228</v>
      </c>
      <c r="L25" s="33" t="s">
        <v>229</v>
      </c>
      <c r="M25" s="33" t="s">
        <v>230</v>
      </c>
      <c r="N25" s="33" t="s">
        <v>231</v>
      </c>
      <c r="O25" s="33" t="s">
        <v>232</v>
      </c>
      <c r="P25" s="33" t="s">
        <v>233</v>
      </c>
      <c r="Q25" s="33" t="s">
        <v>234</v>
      </c>
      <c r="R25" s="33" t="s">
        <v>235</v>
      </c>
      <c r="S25" s="33" t="s">
        <v>236</v>
      </c>
      <c r="T25" s="33" t="s">
        <v>237</v>
      </c>
      <c r="U25" s="33" t="s">
        <v>238</v>
      </c>
      <c r="V25" s="33" t="s">
        <v>239</v>
      </c>
      <c r="W25" s="33" t="s">
        <v>240</v>
      </c>
    </row>
    <row r="26" spans="1:23" ht="15">
      <c r="A26" s="3">
        <v>1</v>
      </c>
      <c r="B26" s="3" t="s">
        <v>241</v>
      </c>
      <c r="C26" s="79"/>
      <c r="D26" s="147">
        <v>0.26419999999999999</v>
      </c>
      <c r="E26" s="147">
        <v>0.26419999999999999</v>
      </c>
      <c r="F26" s="147">
        <v>0.26419999999999999</v>
      </c>
      <c r="G26" s="147">
        <v>0.26419999999999999</v>
      </c>
      <c r="H26" s="147">
        <v>0.26419999999999999</v>
      </c>
      <c r="I26" s="147">
        <v>0.26419999999999999</v>
      </c>
      <c r="J26" s="147">
        <v>0.26419999999999999</v>
      </c>
      <c r="K26" s="147">
        <v>0.26419999999999999</v>
      </c>
      <c r="L26" s="147">
        <v>0.26419999999999999</v>
      </c>
      <c r="M26" s="147">
        <v>0.26419999999999999</v>
      </c>
      <c r="N26" s="147">
        <v>0.26419999999999999</v>
      </c>
      <c r="O26" s="147">
        <v>0.26419999999999999</v>
      </c>
      <c r="P26" s="147">
        <v>0.26419999999999999</v>
      </c>
      <c r="Q26" s="147">
        <v>0.26419999999999999</v>
      </c>
      <c r="R26" s="147">
        <v>0.26419999999999999</v>
      </c>
      <c r="S26" s="147">
        <v>0.26419999999999999</v>
      </c>
      <c r="T26" s="147">
        <v>0.26419999999999999</v>
      </c>
      <c r="U26" s="147">
        <v>0.26419999999999999</v>
      </c>
      <c r="V26" s="147">
        <v>0.26419999999999999</v>
      </c>
      <c r="W26" s="147">
        <v>0.26419999999999999</v>
      </c>
    </row>
    <row r="27" spans="1:23" ht="13">
      <c r="A27" s="3">
        <v>2</v>
      </c>
      <c r="B27" s="3" t="s">
        <v>242</v>
      </c>
      <c r="C27" s="4"/>
      <c r="D27" s="148">
        <f>POWER(672.11/180,1/8)-1</f>
        <v>0.17901948229171771</v>
      </c>
      <c r="E27" s="148">
        <f t="shared" ref="E27:W27" si="2">POWER(672.11/180,1/8)-1</f>
        <v>0.17901948229171771</v>
      </c>
      <c r="F27" s="148">
        <f t="shared" si="2"/>
        <v>0.17901948229171771</v>
      </c>
      <c r="G27" s="148">
        <f t="shared" si="2"/>
        <v>0.17901948229171771</v>
      </c>
      <c r="H27" s="148">
        <f t="shared" si="2"/>
        <v>0.17901948229171771</v>
      </c>
      <c r="I27" s="148">
        <f t="shared" si="2"/>
        <v>0.17901948229171771</v>
      </c>
      <c r="J27" s="148">
        <f t="shared" si="2"/>
        <v>0.17901948229171771</v>
      </c>
      <c r="K27" s="148">
        <f t="shared" si="2"/>
        <v>0.17901948229171771</v>
      </c>
      <c r="L27" s="148">
        <f t="shared" si="2"/>
        <v>0.17901948229171771</v>
      </c>
      <c r="M27" s="148">
        <f t="shared" si="2"/>
        <v>0.17901948229171771</v>
      </c>
      <c r="N27" s="148">
        <f t="shared" si="2"/>
        <v>0.17901948229171771</v>
      </c>
      <c r="O27" s="148">
        <f t="shared" si="2"/>
        <v>0.17901948229171771</v>
      </c>
      <c r="P27" s="148">
        <f t="shared" si="2"/>
        <v>0.17901948229171771</v>
      </c>
      <c r="Q27" s="148">
        <f t="shared" si="2"/>
        <v>0.17901948229171771</v>
      </c>
      <c r="R27" s="148">
        <f t="shared" si="2"/>
        <v>0.17901948229171771</v>
      </c>
      <c r="S27" s="148">
        <f t="shared" si="2"/>
        <v>0.17901948229171771</v>
      </c>
      <c r="T27" s="148">
        <f t="shared" si="2"/>
        <v>0.17901948229171771</v>
      </c>
      <c r="U27" s="148">
        <f t="shared" si="2"/>
        <v>0.17901948229171771</v>
      </c>
      <c r="V27" s="148">
        <f t="shared" si="2"/>
        <v>0.17901948229171771</v>
      </c>
      <c r="W27" s="148">
        <f t="shared" si="2"/>
        <v>0.17901948229171771</v>
      </c>
    </row>
    <row r="28" spans="1:23" ht="13">
      <c r="A28" s="3">
        <v>3</v>
      </c>
      <c r="B28" s="3" t="s">
        <v>243</v>
      </c>
      <c r="C28" s="4"/>
      <c r="D28" s="148">
        <f>POWER( 299.6/260,1/5)-1</f>
        <v>2.8759105626257719E-2</v>
      </c>
      <c r="E28" s="148">
        <f t="shared" ref="E28:W28" si="3">POWER( 299.6/260,1/5)-1</f>
        <v>2.8759105626257719E-2</v>
      </c>
      <c r="F28" s="148">
        <f t="shared" si="3"/>
        <v>2.8759105626257719E-2</v>
      </c>
      <c r="G28" s="148">
        <f t="shared" si="3"/>
        <v>2.8759105626257719E-2</v>
      </c>
      <c r="H28" s="148">
        <f t="shared" si="3"/>
        <v>2.8759105626257719E-2</v>
      </c>
      <c r="I28" s="148">
        <f t="shared" si="3"/>
        <v>2.8759105626257719E-2</v>
      </c>
      <c r="J28" s="148">
        <f t="shared" si="3"/>
        <v>2.8759105626257719E-2</v>
      </c>
      <c r="K28" s="148">
        <f t="shared" si="3"/>
        <v>2.8759105626257719E-2</v>
      </c>
      <c r="L28" s="148">
        <f t="shared" si="3"/>
        <v>2.8759105626257719E-2</v>
      </c>
      <c r="M28" s="148">
        <f t="shared" si="3"/>
        <v>2.8759105626257719E-2</v>
      </c>
      <c r="N28" s="148">
        <f t="shared" si="3"/>
        <v>2.8759105626257719E-2</v>
      </c>
      <c r="O28" s="148">
        <f t="shared" si="3"/>
        <v>2.8759105626257719E-2</v>
      </c>
      <c r="P28" s="148">
        <f t="shared" si="3"/>
        <v>2.8759105626257719E-2</v>
      </c>
      <c r="Q28" s="148">
        <f t="shared" si="3"/>
        <v>2.8759105626257719E-2</v>
      </c>
      <c r="R28" s="148">
        <f t="shared" si="3"/>
        <v>2.8759105626257719E-2</v>
      </c>
      <c r="S28" s="148">
        <f t="shared" si="3"/>
        <v>2.8759105626257719E-2</v>
      </c>
      <c r="T28" s="148">
        <f t="shared" si="3"/>
        <v>2.8759105626257719E-2</v>
      </c>
      <c r="U28" s="148">
        <f t="shared" si="3"/>
        <v>2.8759105626257719E-2</v>
      </c>
      <c r="V28" s="148">
        <f t="shared" si="3"/>
        <v>2.8759105626257719E-2</v>
      </c>
      <c r="W28" s="148">
        <f t="shared" si="3"/>
        <v>2.8759105626257719E-2</v>
      </c>
    </row>
    <row r="29" spans="1:23" ht="13">
      <c r="A29" s="3">
        <v>4</v>
      </c>
      <c r="B29" s="3" t="s">
        <v>244</v>
      </c>
      <c r="C29" s="4"/>
      <c r="D29" s="148">
        <f>POWER( 1500/1000,1/6)-1</f>
        <v>6.991319393366302E-2</v>
      </c>
      <c r="E29" s="148">
        <f t="shared" ref="E29:W29" si="4">POWER( 1500/1000,1/6)-1</f>
        <v>6.991319393366302E-2</v>
      </c>
      <c r="F29" s="148">
        <f t="shared" si="4"/>
        <v>6.991319393366302E-2</v>
      </c>
      <c r="G29" s="148">
        <f t="shared" si="4"/>
        <v>6.991319393366302E-2</v>
      </c>
      <c r="H29" s="148">
        <f t="shared" si="4"/>
        <v>6.991319393366302E-2</v>
      </c>
      <c r="I29" s="148">
        <f t="shared" si="4"/>
        <v>6.991319393366302E-2</v>
      </c>
      <c r="J29" s="148">
        <f t="shared" si="4"/>
        <v>6.991319393366302E-2</v>
      </c>
      <c r="K29" s="148">
        <f t="shared" si="4"/>
        <v>6.991319393366302E-2</v>
      </c>
      <c r="L29" s="148">
        <f t="shared" si="4"/>
        <v>6.991319393366302E-2</v>
      </c>
      <c r="M29" s="148">
        <f t="shared" si="4"/>
        <v>6.991319393366302E-2</v>
      </c>
      <c r="N29" s="148">
        <f t="shared" si="4"/>
        <v>6.991319393366302E-2</v>
      </c>
      <c r="O29" s="148">
        <f t="shared" si="4"/>
        <v>6.991319393366302E-2</v>
      </c>
      <c r="P29" s="148">
        <f t="shared" si="4"/>
        <v>6.991319393366302E-2</v>
      </c>
      <c r="Q29" s="148">
        <f t="shared" si="4"/>
        <v>6.991319393366302E-2</v>
      </c>
      <c r="R29" s="148">
        <f t="shared" si="4"/>
        <v>6.991319393366302E-2</v>
      </c>
      <c r="S29" s="148">
        <f t="shared" si="4"/>
        <v>6.991319393366302E-2</v>
      </c>
      <c r="T29" s="148">
        <f t="shared" si="4"/>
        <v>6.991319393366302E-2</v>
      </c>
      <c r="U29" s="148">
        <f t="shared" si="4"/>
        <v>6.991319393366302E-2</v>
      </c>
      <c r="V29" s="148">
        <f t="shared" si="4"/>
        <v>6.991319393366302E-2</v>
      </c>
      <c r="W29" s="148">
        <f t="shared" si="4"/>
        <v>6.991319393366302E-2</v>
      </c>
    </row>
    <row r="30" spans="1:23" ht="13">
      <c r="A30" s="3">
        <v>5</v>
      </c>
      <c r="B30" s="3" t="s">
        <v>245</v>
      </c>
      <c r="C30" s="4"/>
      <c r="D30" s="147">
        <v>0.13550000000000001</v>
      </c>
      <c r="E30" s="147">
        <v>0.13550000000000001</v>
      </c>
      <c r="F30" s="147">
        <v>0.13550000000000001</v>
      </c>
      <c r="G30" s="147">
        <v>0.13550000000000001</v>
      </c>
      <c r="H30" s="147">
        <v>0.13550000000000001</v>
      </c>
      <c r="I30" s="147">
        <v>0.13550000000000001</v>
      </c>
      <c r="J30" s="147">
        <v>0.13550000000000001</v>
      </c>
      <c r="K30" s="147">
        <v>0.13550000000000001</v>
      </c>
      <c r="L30" s="147">
        <v>0.13550000000000001</v>
      </c>
      <c r="M30" s="147">
        <v>0.13550000000000001</v>
      </c>
      <c r="N30" s="147">
        <v>0.13550000000000001</v>
      </c>
      <c r="O30" s="147">
        <v>0.13550000000000001</v>
      </c>
      <c r="P30" s="147">
        <v>0.13550000000000001</v>
      </c>
      <c r="Q30" s="147">
        <v>0.13550000000000001</v>
      </c>
      <c r="R30" s="147">
        <v>0.13550000000000001</v>
      </c>
      <c r="S30" s="147">
        <v>0.13550000000000001</v>
      </c>
      <c r="T30" s="147">
        <v>0.13550000000000001</v>
      </c>
      <c r="U30" s="147">
        <v>0.13550000000000001</v>
      </c>
      <c r="V30" s="147">
        <v>0.13550000000000001</v>
      </c>
      <c r="W30" s="147">
        <v>0.13550000000000001</v>
      </c>
    </row>
    <row r="31" spans="1:23" ht="13">
      <c r="A31" s="3" t="s">
        <v>76</v>
      </c>
      <c r="B31" s="3"/>
      <c r="C31" s="1"/>
      <c r="D31" s="1"/>
      <c r="E31" s="1"/>
      <c r="F31" s="1"/>
      <c r="G31" s="1"/>
      <c r="H31" s="1"/>
      <c r="I31" s="1"/>
      <c r="J31" s="1"/>
      <c r="K31" s="1"/>
      <c r="L31" s="1"/>
      <c r="M31" s="1"/>
      <c r="N31" s="1"/>
      <c r="O31" s="1"/>
      <c r="P31" s="1"/>
      <c r="Q31" s="1"/>
      <c r="R31" s="1"/>
      <c r="S31" s="1"/>
      <c r="T31" s="1"/>
      <c r="U31" s="1"/>
      <c r="V31" s="1"/>
      <c r="W31" s="1"/>
    </row>
    <row r="32" spans="1:23" ht="15.5">
      <c r="A32" s="84"/>
    </row>
    <row r="33" spans="1:23" ht="13">
      <c r="A33" s="358" t="s">
        <v>88</v>
      </c>
      <c r="B33" s="359"/>
      <c r="C33" s="359"/>
      <c r="D33" s="359"/>
      <c r="E33" s="359"/>
      <c r="F33" s="359"/>
      <c r="G33" s="359"/>
      <c r="H33" s="359"/>
      <c r="I33" s="359"/>
      <c r="J33" s="359"/>
      <c r="K33" s="359"/>
      <c r="L33" s="359"/>
      <c r="M33" s="359"/>
      <c r="N33" s="359"/>
      <c r="O33" s="359"/>
      <c r="P33" s="359"/>
      <c r="Q33" s="359"/>
      <c r="R33" s="359"/>
      <c r="S33" s="359"/>
      <c r="T33" s="359"/>
      <c r="U33" s="359"/>
      <c r="V33" s="359"/>
      <c r="W33" s="360"/>
    </row>
    <row r="34" spans="1:23" ht="15">
      <c r="A34" s="33" t="s">
        <v>0</v>
      </c>
      <c r="B34" s="33" t="s">
        <v>6</v>
      </c>
      <c r="C34" s="33" t="s">
        <v>220</v>
      </c>
      <c r="D34" s="33" t="s">
        <v>221</v>
      </c>
      <c r="E34" s="33" t="s">
        <v>222</v>
      </c>
      <c r="F34" s="33" t="s">
        <v>223</v>
      </c>
      <c r="G34" s="33" t="s">
        <v>224</v>
      </c>
      <c r="H34" s="33" t="s">
        <v>225</v>
      </c>
      <c r="I34" s="33" t="s">
        <v>226</v>
      </c>
      <c r="J34" s="33" t="s">
        <v>227</v>
      </c>
      <c r="K34" s="33" t="s">
        <v>228</v>
      </c>
      <c r="L34" s="33" t="s">
        <v>229</v>
      </c>
      <c r="M34" s="33" t="s">
        <v>230</v>
      </c>
      <c r="N34" s="33" t="s">
        <v>231</v>
      </c>
      <c r="O34" s="33" t="s">
        <v>232</v>
      </c>
      <c r="P34" s="33" t="s">
        <v>233</v>
      </c>
      <c r="Q34" s="33" t="s">
        <v>234</v>
      </c>
      <c r="R34" s="33" t="s">
        <v>235</v>
      </c>
      <c r="S34" s="33" t="s">
        <v>236</v>
      </c>
      <c r="T34" s="33" t="s">
        <v>237</v>
      </c>
      <c r="U34" s="33" t="s">
        <v>238</v>
      </c>
      <c r="V34" s="33" t="s">
        <v>239</v>
      </c>
      <c r="W34" s="33" t="s">
        <v>240</v>
      </c>
    </row>
    <row r="35" spans="1:23" ht="13">
      <c r="A35" s="3">
        <v>1</v>
      </c>
      <c r="B35" s="3" t="s">
        <v>241</v>
      </c>
      <c r="C35" s="161">
        <f>$D7*$C18*$C$41</f>
        <v>0.20271725111829053</v>
      </c>
      <c r="D35" s="161">
        <f>C35*(1+D26)</f>
        <v>0.25627514886374286</v>
      </c>
      <c r="E35" s="161">
        <f t="shared" ref="E35:W39" si="5">D35*(1+E26)</f>
        <v>0.32398304319354371</v>
      </c>
      <c r="F35" s="161">
        <f t="shared" si="5"/>
        <v>0.40957936320527794</v>
      </c>
      <c r="G35" s="161">
        <f t="shared" si="5"/>
        <v>0.51779023096411236</v>
      </c>
      <c r="H35" s="161">
        <f t="shared" si="5"/>
        <v>0.65459040998483087</v>
      </c>
      <c r="I35" s="161">
        <f t="shared" si="5"/>
        <v>0.82753319630282318</v>
      </c>
      <c r="J35" s="161">
        <f t="shared" si="5"/>
        <v>1.046167466766029</v>
      </c>
      <c r="K35" s="161">
        <f t="shared" si="5"/>
        <v>1.3225649114856139</v>
      </c>
      <c r="L35" s="161">
        <f t="shared" si="5"/>
        <v>1.6719865611001132</v>
      </c>
      <c r="M35" s="161">
        <f t="shared" si="5"/>
        <v>2.113725410542763</v>
      </c>
      <c r="N35" s="161">
        <f t="shared" si="5"/>
        <v>2.672171664008161</v>
      </c>
      <c r="O35" s="161">
        <f t="shared" si="5"/>
        <v>3.3781594176391172</v>
      </c>
      <c r="P35" s="161">
        <f t="shared" si="5"/>
        <v>4.2706691357793716</v>
      </c>
      <c r="Q35" s="161">
        <f t="shared" si="5"/>
        <v>5.3989799214522813</v>
      </c>
      <c r="R35" s="161">
        <f t="shared" si="5"/>
        <v>6.8253904166999737</v>
      </c>
      <c r="S35" s="161">
        <f t="shared" si="5"/>
        <v>8.6286585647921061</v>
      </c>
      <c r="T35" s="161">
        <f t="shared" si="5"/>
        <v>10.908350157610181</v>
      </c>
      <c r="U35" s="161">
        <f t="shared" si="5"/>
        <v>13.79033626925079</v>
      </c>
      <c r="V35" s="161">
        <f t="shared" si="5"/>
        <v>17.43374311158685</v>
      </c>
      <c r="W35" s="161">
        <f t="shared" si="5"/>
        <v>22.039738041668095</v>
      </c>
    </row>
    <row r="36" spans="1:23" ht="13">
      <c r="A36" s="3">
        <v>2</v>
      </c>
      <c r="B36" s="3" t="s">
        <v>242</v>
      </c>
      <c r="C36" s="161">
        <f>$D8*$C19*$C$41</f>
        <v>6.0893925049029969E-2</v>
      </c>
      <c r="D36" s="161">
        <f t="shared" ref="D36:S39" si="6">C36*(1+D27)</f>
        <v>7.1795123986017978E-2</v>
      </c>
      <c r="E36" s="161">
        <f t="shared" si="6"/>
        <v>8.4647849913064607E-2</v>
      </c>
      <c r="F36" s="161">
        <f t="shared" si="6"/>
        <v>9.9801464181608457E-2</v>
      </c>
      <c r="G36" s="161">
        <f t="shared" si="6"/>
        <v>0.11766787063135541</v>
      </c>
      <c r="H36" s="161">
        <f t="shared" si="6"/>
        <v>0.13873271191414946</v>
      </c>
      <c r="I36" s="161">
        <f t="shared" si="6"/>
        <v>0.16356857017794652</v>
      </c>
      <c r="J36" s="161">
        <f t="shared" si="6"/>
        <v>0.192850530930399</v>
      </c>
      <c r="K36" s="161">
        <f t="shared" si="6"/>
        <v>0.22737453313724193</v>
      </c>
      <c r="L36" s="161">
        <f t="shared" si="6"/>
        <v>0.26807900434579202</v>
      </c>
      <c r="M36" s="161">
        <f t="shared" si="6"/>
        <v>0.31607036891705487</v>
      </c>
      <c r="N36" s="161">
        <f t="shared" si="6"/>
        <v>0.37265312272833828</v>
      </c>
      <c r="O36" s="161">
        <f t="shared" si="6"/>
        <v>0.43936529183355733</v>
      </c>
      <c r="P36" s="161">
        <f t="shared" si="6"/>
        <v>0.51802023891455018</v>
      </c>
      <c r="Q36" s="161">
        <f t="shared" si="6"/>
        <v>0.61075595390166493</v>
      </c>
      <c r="R36" s="161">
        <f t="shared" si="6"/>
        <v>0.72009316857572514</v>
      </c>
      <c r="S36" s="161">
        <f t="shared" si="6"/>
        <v>0.84900387481595407</v>
      </c>
      <c r="T36" s="161">
        <f t="shared" si="5"/>
        <v>1.0009921089491685</v>
      </c>
      <c r="U36" s="161">
        <f t="shared" si="5"/>
        <v>1.1801891980713433</v>
      </c>
      <c r="V36" s="161">
        <f t="shared" si="5"/>
        <v>1.3914660573163526</v>
      </c>
      <c r="W36" s="161">
        <f t="shared" si="5"/>
        <v>1.6405655905236236</v>
      </c>
    </row>
    <row r="37" spans="1:23" ht="13">
      <c r="A37" s="3">
        <v>3</v>
      </c>
      <c r="B37" s="3" t="s">
        <v>243</v>
      </c>
      <c r="C37" s="161">
        <f>$D9*$C20*$C$41</f>
        <v>0.26923113080157185</v>
      </c>
      <c r="D37" s="161">
        <f t="shared" si="6"/>
        <v>0.27697397733017104</v>
      </c>
      <c r="E37" s="161">
        <f t="shared" si="6"/>
        <v>0.28493950119993416</v>
      </c>
      <c r="F37" s="161">
        <f t="shared" si="6"/>
        <v>0.29313410641203624</v>
      </c>
      <c r="G37" s="161">
        <f t="shared" si="6"/>
        <v>0.30156438114099865</v>
      </c>
      <c r="H37" s="161">
        <f t="shared" si="6"/>
        <v>0.31023710303134966</v>
      </c>
      <c r="I37" s="161">
        <f t="shared" si="6"/>
        <v>0.31915924464661244</v>
      </c>
      <c r="J37" s="161">
        <f t="shared" si="6"/>
        <v>0.32833797907500101</v>
      </c>
      <c r="K37" s="161">
        <f t="shared" si="6"/>
        <v>0.33778068569633096</v>
      </c>
      <c r="L37" s="161">
        <f t="shared" si="6"/>
        <v>0.34749495611478148</v>
      </c>
      <c r="M37" s="161">
        <f t="shared" si="6"/>
        <v>0.3574886002622783</v>
      </c>
      <c r="N37" s="161">
        <f t="shared" si="6"/>
        <v>0.36776965267740419</v>
      </c>
      <c r="O37" s="161">
        <f t="shared" si="6"/>
        <v>0.37834637896488577</v>
      </c>
      <c r="P37" s="161">
        <f t="shared" si="6"/>
        <v>0.38922728244084903</v>
      </c>
      <c r="Q37" s="161">
        <f t="shared" si="6"/>
        <v>0.40042111096918664</v>
      </c>
      <c r="R37" s="161">
        <f t="shared" si="6"/>
        <v>0.41193686399453294</v>
      </c>
      <c r="S37" s="161">
        <f t="shared" si="6"/>
        <v>0.42378379977750108</v>
      </c>
      <c r="T37" s="161">
        <f t="shared" si="5"/>
        <v>0.4359714428379991</v>
      </c>
      <c r="U37" s="161">
        <f t="shared" si="5"/>
        <v>0.44850959161260912</v>
      </c>
      <c r="V37" s="161">
        <f t="shared" si="5"/>
        <v>0.46140832633218587</v>
      </c>
      <c r="W37" s="161">
        <f t="shared" si="5"/>
        <v>0.47467801712600799</v>
      </c>
    </row>
    <row r="38" spans="1:23" ht="13">
      <c r="A38" s="3">
        <v>4</v>
      </c>
      <c r="B38" s="3" t="s">
        <v>244</v>
      </c>
      <c r="C38" s="161">
        <f>$D10*$C21*$C$41</f>
        <v>0.14825964775205755</v>
      </c>
      <c r="D38" s="161">
        <f t="shared" si="6"/>
        <v>0.15862495325788373</v>
      </c>
      <c r="E38" s="161">
        <f t="shared" si="6"/>
        <v>0.1697149303777204</v>
      </c>
      <c r="F38" s="161">
        <f t="shared" si="6"/>
        <v>0.18158024321865607</v>
      </c>
      <c r="G38" s="161">
        <f t="shared" si="6"/>
        <v>0.19427509797732367</v>
      </c>
      <c r="H38" s="161">
        <f t="shared" si="6"/>
        <v>0.20785749057869368</v>
      </c>
      <c r="I38" s="161">
        <f t="shared" si="6"/>
        <v>0.22238947162808642</v>
      </c>
      <c r="J38" s="161">
        <f t="shared" si="6"/>
        <v>0.23793742988682567</v>
      </c>
      <c r="K38" s="161">
        <f t="shared" si="6"/>
        <v>0.25457239556658068</v>
      </c>
      <c r="L38" s="161">
        <f t="shared" si="6"/>
        <v>0.27237036482798421</v>
      </c>
      <c r="M38" s="161">
        <f t="shared" si="6"/>
        <v>0.29141264696598562</v>
      </c>
      <c r="N38" s="161">
        <f t="shared" si="6"/>
        <v>0.31178623586804066</v>
      </c>
      <c r="O38" s="161">
        <f t="shared" si="6"/>
        <v>0.3335842074421298</v>
      </c>
      <c r="P38" s="161">
        <f t="shared" si="6"/>
        <v>0.35690614483023869</v>
      </c>
      <c r="Q38" s="161">
        <f t="shared" si="6"/>
        <v>0.38185859334987121</v>
      </c>
      <c r="R38" s="161">
        <f t="shared" si="6"/>
        <v>0.40855554724197651</v>
      </c>
      <c r="S38" s="161">
        <f t="shared" si="6"/>
        <v>0.43711897044897863</v>
      </c>
      <c r="T38" s="161">
        <f t="shared" si="5"/>
        <v>0.46767935380206116</v>
      </c>
      <c r="U38" s="161">
        <f t="shared" si="5"/>
        <v>0.50037631116319481</v>
      </c>
      <c r="V38" s="161">
        <f t="shared" si="5"/>
        <v>0.53535921724535818</v>
      </c>
      <c r="W38" s="161">
        <f t="shared" si="5"/>
        <v>0.5727878900248069</v>
      </c>
    </row>
    <row r="39" spans="1:23" ht="13">
      <c r="A39" s="3">
        <v>5</v>
      </c>
      <c r="B39" s="3" t="s">
        <v>245</v>
      </c>
      <c r="C39" s="161">
        <f>$D11*$C22*$C$41</f>
        <v>0.50333900445832591</v>
      </c>
      <c r="D39" s="161">
        <f t="shared" si="6"/>
        <v>0.57154143956242909</v>
      </c>
      <c r="E39" s="161">
        <f t="shared" si="6"/>
        <v>0.64898530462313819</v>
      </c>
      <c r="F39" s="161">
        <f t="shared" si="6"/>
        <v>0.73692281339957344</v>
      </c>
      <c r="G39" s="161">
        <f t="shared" si="6"/>
        <v>0.83677585461521564</v>
      </c>
      <c r="H39" s="161">
        <f t="shared" si="6"/>
        <v>0.95015898291557732</v>
      </c>
      <c r="I39" s="161">
        <f t="shared" si="6"/>
        <v>1.0789055251006381</v>
      </c>
      <c r="J39" s="161">
        <f t="shared" si="6"/>
        <v>1.2250972237517745</v>
      </c>
      <c r="K39" s="161">
        <f t="shared" si="6"/>
        <v>1.39109789757014</v>
      </c>
      <c r="L39" s="161">
        <f t="shared" si="6"/>
        <v>1.5795916626908939</v>
      </c>
      <c r="M39" s="161">
        <f t="shared" si="6"/>
        <v>1.79362633298551</v>
      </c>
      <c r="N39" s="161">
        <f t="shared" si="6"/>
        <v>2.0366627011050467</v>
      </c>
      <c r="O39" s="161">
        <f t="shared" si="6"/>
        <v>2.3126304971047804</v>
      </c>
      <c r="P39" s="161">
        <f t="shared" si="6"/>
        <v>2.6259919294624781</v>
      </c>
      <c r="Q39" s="161">
        <f t="shared" si="6"/>
        <v>2.9818138359046436</v>
      </c>
      <c r="R39" s="161">
        <f t="shared" si="6"/>
        <v>3.3858496106697227</v>
      </c>
      <c r="S39" s="161">
        <f t="shared" si="6"/>
        <v>3.8446322329154698</v>
      </c>
      <c r="T39" s="161">
        <f t="shared" si="5"/>
        <v>4.3655799004755158</v>
      </c>
      <c r="U39" s="161">
        <f t="shared" si="5"/>
        <v>4.9571159769899484</v>
      </c>
      <c r="V39" s="161">
        <f t="shared" si="5"/>
        <v>5.6288051918720861</v>
      </c>
      <c r="W39" s="161">
        <f t="shared" si="5"/>
        <v>6.3915082953707536</v>
      </c>
    </row>
    <row r="40" spans="1:23" ht="13">
      <c r="A40" s="119" t="s">
        <v>436</v>
      </c>
      <c r="B40" s="119"/>
      <c r="C40" s="161">
        <f>SUM(C35:C39)</f>
        <v>1.1844409591792759</v>
      </c>
      <c r="D40" s="161">
        <f>SUM(D35:D39)</f>
        <v>1.3352106430002446</v>
      </c>
      <c r="E40" s="161">
        <f t="shared" ref="E40:W40" si="7">SUM(E35:E39)</f>
        <v>1.5122706293074011</v>
      </c>
      <c r="F40" s="161">
        <f t="shared" si="7"/>
        <v>1.7210179904171521</v>
      </c>
      <c r="G40" s="161">
        <f t="shared" si="7"/>
        <v>1.9680734353290057</v>
      </c>
      <c r="H40" s="161">
        <f t="shared" si="7"/>
        <v>2.2615766984246011</v>
      </c>
      <c r="I40" s="161">
        <f t="shared" si="7"/>
        <v>2.6115560078561071</v>
      </c>
      <c r="J40" s="161">
        <f t="shared" si="7"/>
        <v>3.0303906304100292</v>
      </c>
      <c r="K40" s="161">
        <f t="shared" si="7"/>
        <v>3.5333904234559075</v>
      </c>
      <c r="L40" s="161">
        <f t="shared" si="7"/>
        <v>4.1395225490795653</v>
      </c>
      <c r="M40" s="161">
        <f t="shared" si="7"/>
        <v>4.872323359673592</v>
      </c>
      <c r="N40" s="161">
        <f t="shared" si="7"/>
        <v>5.7610433763869908</v>
      </c>
      <c r="O40" s="161">
        <f t="shared" si="7"/>
        <v>6.8420857929844701</v>
      </c>
      <c r="P40" s="161">
        <f t="shared" si="7"/>
        <v>8.1608147314274877</v>
      </c>
      <c r="Q40" s="161">
        <f t="shared" si="7"/>
        <v>9.7738294155776479</v>
      </c>
      <c r="R40" s="161">
        <f t="shared" si="7"/>
        <v>11.751825607181932</v>
      </c>
      <c r="S40" s="161">
        <f t="shared" si="7"/>
        <v>14.183197442750011</v>
      </c>
      <c r="T40" s="161">
        <f t="shared" si="7"/>
        <v>17.178572963674927</v>
      </c>
      <c r="U40" s="161">
        <f t="shared" si="7"/>
        <v>20.876527347087887</v>
      </c>
      <c r="V40" s="161">
        <f t="shared" si="7"/>
        <v>25.450781904352834</v>
      </c>
      <c r="W40" s="161">
        <f t="shared" si="7"/>
        <v>31.119277834713287</v>
      </c>
    </row>
    <row r="41" spans="1:23" ht="13">
      <c r="A41" s="3" t="s">
        <v>437</v>
      </c>
      <c r="B41" s="3"/>
      <c r="C41" s="161">
        <f>E63*D71</f>
        <v>2.5522849283885041</v>
      </c>
      <c r="D41" s="161"/>
      <c r="E41" s="1"/>
      <c r="F41" s="1"/>
      <c r="G41" s="1"/>
      <c r="H41" s="1"/>
      <c r="I41" s="1"/>
      <c r="J41" s="1"/>
      <c r="K41" s="1"/>
      <c r="L41" s="1"/>
      <c r="M41" s="1"/>
      <c r="N41" s="1"/>
      <c r="O41" s="1"/>
      <c r="P41" s="1"/>
      <c r="Q41" s="1"/>
      <c r="R41" s="1"/>
      <c r="S41" s="1"/>
      <c r="T41" s="1"/>
      <c r="U41" s="1"/>
      <c r="V41" s="1"/>
      <c r="W41" s="1"/>
    </row>
    <row r="42" spans="1:23" ht="15.5">
      <c r="A42" s="84"/>
    </row>
    <row r="43" spans="1:23" ht="13">
      <c r="A43" s="358" t="s">
        <v>442</v>
      </c>
      <c r="B43" s="359"/>
      <c r="C43" s="359"/>
      <c r="D43" s="359"/>
      <c r="E43" s="359"/>
      <c r="F43" s="359"/>
      <c r="G43" s="359"/>
      <c r="H43" s="359"/>
      <c r="I43" s="359"/>
      <c r="J43" s="359"/>
      <c r="K43" s="359"/>
      <c r="L43" s="359"/>
      <c r="M43" s="359"/>
      <c r="N43" s="359"/>
      <c r="O43" s="359"/>
      <c r="P43" s="359"/>
      <c r="Q43" s="359"/>
      <c r="R43" s="359"/>
      <c r="S43" s="359"/>
      <c r="T43" s="359"/>
      <c r="U43" s="359"/>
      <c r="V43" s="359"/>
      <c r="W43" s="360"/>
    </row>
    <row r="44" spans="1:23" ht="15">
      <c r="A44" s="33" t="s">
        <v>0</v>
      </c>
      <c r="B44" s="33" t="s">
        <v>6</v>
      </c>
      <c r="C44" s="33" t="s">
        <v>220</v>
      </c>
      <c r="D44" s="33" t="s">
        <v>221</v>
      </c>
      <c r="E44" s="33" t="s">
        <v>222</v>
      </c>
      <c r="F44" s="33" t="s">
        <v>223</v>
      </c>
      <c r="G44" s="33" t="s">
        <v>224</v>
      </c>
      <c r="H44" s="33" t="s">
        <v>225</v>
      </c>
      <c r="I44" s="33" t="s">
        <v>226</v>
      </c>
      <c r="J44" s="33" t="s">
        <v>227</v>
      </c>
      <c r="K44" s="33" t="s">
        <v>228</v>
      </c>
      <c r="L44" s="33" t="s">
        <v>229</v>
      </c>
      <c r="M44" s="33" t="s">
        <v>230</v>
      </c>
      <c r="N44" s="33" t="s">
        <v>231</v>
      </c>
      <c r="O44" s="33" t="s">
        <v>232</v>
      </c>
      <c r="P44" s="33" t="s">
        <v>233</v>
      </c>
      <c r="Q44" s="33" t="s">
        <v>234</v>
      </c>
      <c r="R44" s="33" t="s">
        <v>235</v>
      </c>
      <c r="S44" s="33" t="s">
        <v>236</v>
      </c>
      <c r="T44" s="33" t="s">
        <v>237</v>
      </c>
      <c r="U44" s="33" t="s">
        <v>238</v>
      </c>
      <c r="V44" s="33" t="s">
        <v>239</v>
      </c>
      <c r="W44" s="33" t="s">
        <v>240</v>
      </c>
    </row>
    <row r="45" spans="1:23" ht="13">
      <c r="A45" s="3">
        <v>1</v>
      </c>
      <c r="B45" s="3" t="s">
        <v>241</v>
      </c>
      <c r="C45" s="161">
        <f>C35*$C7</f>
        <v>9.9959876526429056E-2</v>
      </c>
      <c r="D45" s="161">
        <f t="shared" ref="D45:W49" si="8">D35*$C7</f>
        <v>0.12636927590471161</v>
      </c>
      <c r="E45" s="161">
        <f t="shared" si="8"/>
        <v>0.15975603859873638</v>
      </c>
      <c r="F45" s="161">
        <f t="shared" si="8"/>
        <v>0.20196358399652253</v>
      </c>
      <c r="G45" s="161">
        <f t="shared" si="8"/>
        <v>0.25532236288840382</v>
      </c>
      <c r="H45" s="161">
        <f t="shared" si="8"/>
        <v>0.32277853116352007</v>
      </c>
      <c r="I45" s="161">
        <f t="shared" si="8"/>
        <v>0.40805661909692209</v>
      </c>
      <c r="J45" s="161">
        <f t="shared" si="8"/>
        <v>0.51586517786232888</v>
      </c>
      <c r="K45" s="161">
        <f t="shared" si="8"/>
        <v>0.6521567578535562</v>
      </c>
      <c r="L45" s="161">
        <f t="shared" si="8"/>
        <v>0.82445657327846578</v>
      </c>
      <c r="M45" s="161">
        <f t="shared" si="8"/>
        <v>1.0422779999386365</v>
      </c>
      <c r="N45" s="161">
        <f t="shared" si="8"/>
        <v>1.317647847522424</v>
      </c>
      <c r="O45" s="161">
        <f t="shared" si="8"/>
        <v>1.6657704088378487</v>
      </c>
      <c r="P45" s="161">
        <f t="shared" si="8"/>
        <v>2.1058669508528078</v>
      </c>
      <c r="Q45" s="161">
        <f t="shared" si="8"/>
        <v>2.6622369992681199</v>
      </c>
      <c r="R45" s="161">
        <f t="shared" si="8"/>
        <v>3.3656000144747571</v>
      </c>
      <c r="S45" s="161">
        <f t="shared" si="8"/>
        <v>4.2547915382989876</v>
      </c>
      <c r="T45" s="161">
        <f t="shared" si="8"/>
        <v>5.3789074627175806</v>
      </c>
      <c r="U45" s="161">
        <f t="shared" si="8"/>
        <v>6.8000148143675645</v>
      </c>
      <c r="V45" s="161">
        <f t="shared" si="8"/>
        <v>8.5965787283234754</v>
      </c>
      <c r="W45" s="161">
        <f t="shared" si="8"/>
        <v>10.867794828346536</v>
      </c>
    </row>
    <row r="46" spans="1:23" ht="13">
      <c r="A46" s="3">
        <v>2</v>
      </c>
      <c r="B46" s="3" t="s">
        <v>242</v>
      </c>
      <c r="C46" s="161">
        <f t="shared" ref="C46:R49" si="9">C36*$C8</f>
        <v>2.4333212449592374E-2</v>
      </c>
      <c r="D46" s="161">
        <f t="shared" si="9"/>
        <v>2.868933154481278E-2</v>
      </c>
      <c r="E46" s="161">
        <f t="shared" si="9"/>
        <v>3.3825280825260616E-2</v>
      </c>
      <c r="F46" s="161">
        <f t="shared" si="9"/>
        <v>3.9880665086970732E-2</v>
      </c>
      <c r="G46" s="161">
        <f t="shared" si="9"/>
        <v>4.7020081104289617E-2</v>
      </c>
      <c r="H46" s="161">
        <f t="shared" si="9"/>
        <v>5.543759168089412E-2</v>
      </c>
      <c r="I46" s="161">
        <f t="shared" si="9"/>
        <v>6.5362000643107418E-2</v>
      </c>
      <c r="J46" s="161">
        <f t="shared" si="9"/>
        <v>7.706307215978743E-2</v>
      </c>
      <c r="K46" s="161">
        <f t="shared" si="9"/>
        <v>9.085886344164186E-2</v>
      </c>
      <c r="L46" s="161">
        <f t="shared" si="9"/>
        <v>0.10712437013657848</v>
      </c>
      <c r="M46" s="161">
        <f t="shared" si="9"/>
        <v>0.12630171941925511</v>
      </c>
      <c r="N46" s="161">
        <f t="shared" si="9"/>
        <v>0.14891218784224397</v>
      </c>
      <c r="O46" s="161">
        <f t="shared" si="9"/>
        <v>0.17557037061668948</v>
      </c>
      <c r="P46" s="161">
        <f t="shared" si="9"/>
        <v>0.20700088747025422</v>
      </c>
      <c r="Q46" s="161">
        <f t="shared" si="9"/>
        <v>0.24405807917910527</v>
      </c>
      <c r="R46" s="161">
        <f t="shared" si="9"/>
        <v>0.28774923016285975</v>
      </c>
      <c r="S46" s="161">
        <f t="shared" si="8"/>
        <v>0.33926194837645524</v>
      </c>
      <c r="T46" s="161">
        <f t="shared" si="8"/>
        <v>0.3999964467360877</v>
      </c>
      <c r="U46" s="161">
        <f t="shared" si="8"/>
        <v>0.47160360354930869</v>
      </c>
      <c r="V46" s="161">
        <f t="shared" si="8"/>
        <v>0.55602983650361448</v>
      </c>
      <c r="W46" s="161">
        <f t="shared" si="8"/>
        <v>0.65557000997323989</v>
      </c>
    </row>
    <row r="47" spans="1:23" ht="13">
      <c r="A47" s="3">
        <v>3</v>
      </c>
      <c r="B47" s="3" t="s">
        <v>243</v>
      </c>
      <c r="C47" s="161">
        <f t="shared" si="9"/>
        <v>0.13582710548939297</v>
      </c>
      <c r="D47" s="161">
        <f t="shared" si="9"/>
        <v>0.13973337156307128</v>
      </c>
      <c r="E47" s="161">
        <f t="shared" si="9"/>
        <v>0.14375197835536677</v>
      </c>
      <c r="F47" s="161">
        <f t="shared" si="9"/>
        <v>0.14788615668487226</v>
      </c>
      <c r="G47" s="161">
        <f t="shared" si="9"/>
        <v>0.15213923028563381</v>
      </c>
      <c r="H47" s="161">
        <f t="shared" si="9"/>
        <v>0.15651461847931589</v>
      </c>
      <c r="I47" s="161">
        <f t="shared" si="9"/>
        <v>0.16101583892421595</v>
      </c>
      <c r="J47" s="161">
        <f t="shared" si="9"/>
        <v>0.165646510443338</v>
      </c>
      <c r="K47" s="161">
        <f t="shared" si="9"/>
        <v>0.17041035593379894</v>
      </c>
      <c r="L47" s="161">
        <f t="shared" si="9"/>
        <v>0.17531120535990724</v>
      </c>
      <c r="M47" s="161">
        <f t="shared" si="9"/>
        <v>0.18035299883231939</v>
      </c>
      <c r="N47" s="161">
        <f t="shared" si="9"/>
        <v>0.18553978977575039</v>
      </c>
      <c r="O47" s="161">
        <f t="shared" si="9"/>
        <v>0.19087574818778485</v>
      </c>
      <c r="P47" s="161">
        <f t="shared" si="9"/>
        <v>0.19636516399140833</v>
      </c>
      <c r="Q47" s="161">
        <f t="shared" si="9"/>
        <v>0.20201245048395464</v>
      </c>
      <c r="R47" s="161">
        <f t="shared" si="9"/>
        <v>0.20782214788524184</v>
      </c>
      <c r="S47" s="161">
        <f t="shared" si="8"/>
        <v>0.21379892698774927</v>
      </c>
      <c r="T47" s="161">
        <f t="shared" si="8"/>
        <v>0.21994759291177052</v>
      </c>
      <c r="U47" s="161">
        <f t="shared" si="8"/>
        <v>0.22627308896856127</v>
      </c>
      <c r="V47" s="161">
        <f t="shared" si="8"/>
        <v>0.23278050063458774</v>
      </c>
      <c r="W47" s="161">
        <f t="shared" si="8"/>
        <v>0.23947505964007101</v>
      </c>
    </row>
    <row r="48" spans="1:23" ht="13">
      <c r="A48" s="3">
        <v>4</v>
      </c>
      <c r="B48" s="3" t="s">
        <v>244</v>
      </c>
      <c r="C48" s="161">
        <f t="shared" si="9"/>
        <v>9.9511875571181033E-2</v>
      </c>
      <c r="D48" s="161">
        <f t="shared" si="9"/>
        <v>0.10646906862669156</v>
      </c>
      <c r="E48" s="161">
        <f t="shared" si="9"/>
        <v>0.11391266126952593</v>
      </c>
      <c r="F48" s="161">
        <f t="shared" si="9"/>
        <v>0.12187665924836195</v>
      </c>
      <c r="G48" s="161">
        <f t="shared" si="9"/>
        <v>0.13039744576237966</v>
      </c>
      <c r="H48" s="161">
        <f t="shared" si="9"/>
        <v>0.1395139476764192</v>
      </c>
      <c r="I48" s="161">
        <f t="shared" si="9"/>
        <v>0.14926781335677161</v>
      </c>
      <c r="J48" s="161">
        <f t="shared" si="9"/>
        <v>0.15970360294003741</v>
      </c>
      <c r="K48" s="161">
        <f t="shared" si="9"/>
        <v>0.17086899190428895</v>
      </c>
      <c r="L48" s="161">
        <f t="shared" si="9"/>
        <v>0.18281498887254302</v>
      </c>
      <c r="M48" s="161">
        <f t="shared" si="9"/>
        <v>0.19559616864356955</v>
      </c>
      <c r="N48" s="161">
        <f t="shared" si="9"/>
        <v>0.20927092151462889</v>
      </c>
      <c r="O48" s="161">
        <f t="shared" si="9"/>
        <v>0.22390172003515751</v>
      </c>
      <c r="P48" s="161">
        <f t="shared" si="9"/>
        <v>0.23955540441005621</v>
      </c>
      <c r="Q48" s="161">
        <f t="shared" si="9"/>
        <v>0.25630348785643359</v>
      </c>
      <c r="R48" s="161">
        <f t="shared" si="9"/>
        <v>0.27422248330881466</v>
      </c>
      <c r="S48" s="161">
        <f t="shared" si="8"/>
        <v>0.29339425296535449</v>
      </c>
      <c r="T48" s="161">
        <f t="shared" si="8"/>
        <v>0.31390638227194345</v>
      </c>
      <c r="U48" s="161">
        <f t="shared" si="8"/>
        <v>0.33585258005273638</v>
      </c>
      <c r="V48" s="161">
        <f t="shared" si="8"/>
        <v>0.35933310661508444</v>
      </c>
      <c r="W48" s="161">
        <f t="shared" si="8"/>
        <v>0.38445523178465041</v>
      </c>
    </row>
    <row r="49" spans="1:23" ht="13">
      <c r="A49" s="3">
        <v>5</v>
      </c>
      <c r="B49" s="3" t="s">
        <v>245</v>
      </c>
      <c r="C49" s="161">
        <f t="shared" si="9"/>
        <v>0.40252020186532322</v>
      </c>
      <c r="D49" s="161">
        <f t="shared" si="9"/>
        <v>0.4570616892180745</v>
      </c>
      <c r="E49" s="161">
        <f t="shared" si="9"/>
        <v>0.51899354810712361</v>
      </c>
      <c r="F49" s="161">
        <f t="shared" si="9"/>
        <v>0.58931717387563887</v>
      </c>
      <c r="G49" s="161">
        <f t="shared" si="9"/>
        <v>0.66916965093578795</v>
      </c>
      <c r="H49" s="161">
        <f t="shared" si="9"/>
        <v>0.75984213863758721</v>
      </c>
      <c r="I49" s="161">
        <f t="shared" si="9"/>
        <v>0.86280074842298027</v>
      </c>
      <c r="J49" s="161">
        <f t="shared" si="9"/>
        <v>0.97971024983429411</v>
      </c>
      <c r="K49" s="161">
        <f t="shared" si="9"/>
        <v>1.1124609886868408</v>
      </c>
      <c r="L49" s="161">
        <f t="shared" si="9"/>
        <v>1.2631994526539079</v>
      </c>
      <c r="M49" s="161">
        <f t="shared" si="9"/>
        <v>1.4343629784885124</v>
      </c>
      <c r="N49" s="161">
        <f t="shared" si="9"/>
        <v>1.6287191620737058</v>
      </c>
      <c r="O49" s="161">
        <f t="shared" si="9"/>
        <v>1.8494106085346929</v>
      </c>
      <c r="P49" s="161">
        <f t="shared" si="9"/>
        <v>2.1000057459911434</v>
      </c>
      <c r="Q49" s="161">
        <f t="shared" si="9"/>
        <v>2.3845565245729432</v>
      </c>
      <c r="R49" s="161">
        <f t="shared" si="9"/>
        <v>2.7076639336525772</v>
      </c>
      <c r="S49" s="161">
        <f t="shared" si="8"/>
        <v>3.0745523966625012</v>
      </c>
      <c r="T49" s="161">
        <f t="shared" si="8"/>
        <v>3.4911542464102698</v>
      </c>
      <c r="U49" s="161">
        <f t="shared" si="8"/>
        <v>3.9642056467988618</v>
      </c>
      <c r="V49" s="161">
        <f t="shared" si="8"/>
        <v>4.5013555119401074</v>
      </c>
      <c r="W49" s="161">
        <f t="shared" si="8"/>
        <v>5.1112891838079912</v>
      </c>
    </row>
    <row r="50" spans="1:23" ht="13">
      <c r="A50" s="3" t="s">
        <v>76</v>
      </c>
      <c r="B50" s="3"/>
      <c r="C50" s="161">
        <f>SUM(C45:C49)</f>
        <v>0.7621522719019187</v>
      </c>
      <c r="D50" s="161">
        <f t="shared" ref="D50:W50" si="10">SUM(D45:D49)</f>
        <v>0.85832273685736182</v>
      </c>
      <c r="E50" s="161">
        <f t="shared" si="10"/>
        <v>0.97023950715601326</v>
      </c>
      <c r="F50" s="161">
        <f t="shared" si="10"/>
        <v>1.1009242388923663</v>
      </c>
      <c r="G50" s="161">
        <f t="shared" si="10"/>
        <v>1.2540487709764947</v>
      </c>
      <c r="H50" s="161">
        <f t="shared" si="10"/>
        <v>1.4340868276377365</v>
      </c>
      <c r="I50" s="161">
        <f t="shared" si="10"/>
        <v>1.6465030204439972</v>
      </c>
      <c r="J50" s="161">
        <f t="shared" si="10"/>
        <v>1.8979886132397858</v>
      </c>
      <c r="K50" s="161">
        <f t="shared" si="10"/>
        <v>2.1967559578201268</v>
      </c>
      <c r="L50" s="161">
        <f t="shared" si="10"/>
        <v>2.5529065903014025</v>
      </c>
      <c r="M50" s="161">
        <f t="shared" si="10"/>
        <v>2.9788918653222929</v>
      </c>
      <c r="N50" s="161">
        <f t="shared" si="10"/>
        <v>3.4900899087287529</v>
      </c>
      <c r="O50" s="161">
        <f t="shared" si="10"/>
        <v>4.1055288562121737</v>
      </c>
      <c r="P50" s="161">
        <f t="shared" si="10"/>
        <v>4.8487941527156693</v>
      </c>
      <c r="Q50" s="161">
        <f t="shared" si="10"/>
        <v>5.7491675413605563</v>
      </c>
      <c r="R50" s="161">
        <f t="shared" si="10"/>
        <v>6.8430578094842502</v>
      </c>
      <c r="S50" s="161">
        <f t="shared" si="10"/>
        <v>8.1757990632910484</v>
      </c>
      <c r="T50" s="161">
        <f t="shared" si="10"/>
        <v>9.8039121310476531</v>
      </c>
      <c r="U50" s="161">
        <f t="shared" si="10"/>
        <v>11.797949733737033</v>
      </c>
      <c r="V50" s="161">
        <f t="shared" si="10"/>
        <v>14.246077684016871</v>
      </c>
      <c r="W50" s="161">
        <f t="shared" si="10"/>
        <v>17.25858431355249</v>
      </c>
    </row>
    <row r="52" spans="1:23" ht="13">
      <c r="A52" s="358" t="s">
        <v>445</v>
      </c>
      <c r="B52" s="359"/>
      <c r="C52" s="359"/>
      <c r="D52" s="359"/>
      <c r="E52" s="359"/>
      <c r="F52" s="359"/>
      <c r="G52" s="359"/>
      <c r="H52" s="359"/>
      <c r="I52" s="359"/>
      <c r="J52" s="359"/>
      <c r="K52" s="359"/>
      <c r="L52" s="359"/>
      <c r="M52" s="359"/>
      <c r="N52" s="359"/>
      <c r="O52" s="359"/>
      <c r="P52" s="359"/>
      <c r="Q52" s="359"/>
      <c r="R52" s="359"/>
      <c r="S52" s="359"/>
      <c r="T52" s="359"/>
      <c r="U52" s="359"/>
      <c r="V52" s="359"/>
      <c r="W52" s="360"/>
    </row>
    <row r="53" spans="1:23" ht="15">
      <c r="A53" s="33" t="s">
        <v>0</v>
      </c>
      <c r="B53" s="33" t="s">
        <v>6</v>
      </c>
      <c r="C53" s="33" t="s">
        <v>220</v>
      </c>
      <c r="D53" s="33" t="s">
        <v>221</v>
      </c>
      <c r="E53" s="33" t="s">
        <v>222</v>
      </c>
      <c r="F53" s="33" t="s">
        <v>223</v>
      </c>
      <c r="G53" s="33" t="s">
        <v>224</v>
      </c>
      <c r="H53" s="33" t="s">
        <v>225</v>
      </c>
      <c r="I53" s="33" t="s">
        <v>226</v>
      </c>
      <c r="J53" s="33" t="s">
        <v>227</v>
      </c>
      <c r="K53" s="33" t="s">
        <v>228</v>
      </c>
      <c r="L53" s="33" t="s">
        <v>229</v>
      </c>
      <c r="M53" s="33" t="s">
        <v>230</v>
      </c>
      <c r="N53" s="33" t="s">
        <v>231</v>
      </c>
      <c r="O53" s="33" t="s">
        <v>232</v>
      </c>
      <c r="P53" s="33" t="s">
        <v>233</v>
      </c>
      <c r="Q53" s="33" t="s">
        <v>234</v>
      </c>
      <c r="R53" s="33" t="s">
        <v>235</v>
      </c>
      <c r="S53" s="33" t="s">
        <v>236</v>
      </c>
      <c r="T53" s="33" t="s">
        <v>237</v>
      </c>
      <c r="U53" s="33" t="s">
        <v>238</v>
      </c>
      <c r="V53" s="33" t="s">
        <v>239</v>
      </c>
      <c r="W53" s="33" t="s">
        <v>240</v>
      </c>
    </row>
    <row r="54" spans="1:23" ht="13">
      <c r="A54" s="119">
        <v>1</v>
      </c>
      <c r="B54" s="119" t="s">
        <v>380</v>
      </c>
      <c r="C54" s="161">
        <f>C40*$K$80</f>
        <v>7.4419629396583285E-3</v>
      </c>
      <c r="D54" s="161">
        <f t="shared" ref="D54:W54" si="11">D40*$K$80</f>
        <v>8.3892641881706444E-3</v>
      </c>
      <c r="E54" s="161">
        <f t="shared" si="11"/>
        <v>9.5017500794955384E-3</v>
      </c>
      <c r="F54" s="161">
        <f t="shared" si="11"/>
        <v>1.0813330967585298E-2</v>
      </c>
      <c r="G54" s="161">
        <f t="shared" si="11"/>
        <v>1.2365605440049339E-2</v>
      </c>
      <c r="H54" s="161">
        <f t="shared" si="11"/>
        <v>1.4209716275375157E-2</v>
      </c>
      <c r="I54" s="161">
        <f t="shared" si="11"/>
        <v>1.6408671850367446E-2</v>
      </c>
      <c r="J54" s="161">
        <f t="shared" si="11"/>
        <v>1.9040252356543014E-2</v>
      </c>
      <c r="K54" s="161">
        <f t="shared" si="11"/>
        <v>2.2200651183933322E-2</v>
      </c>
      <c r="L54" s="161">
        <f t="shared" si="11"/>
        <v>2.6009040939850934E-2</v>
      </c>
      <c r="M54" s="161">
        <f t="shared" si="11"/>
        <v>3.0613302918743625E-2</v>
      </c>
      <c r="N54" s="161">
        <f t="shared" si="11"/>
        <v>3.619722111817545E-2</v>
      </c>
      <c r="O54" s="161">
        <f t="shared" si="11"/>
        <v>4.298952050479217E-2</v>
      </c>
      <c r="P54" s="161">
        <f t="shared" si="11"/>
        <v>5.1275228467938083E-2</v>
      </c>
      <c r="Q54" s="161">
        <f t="shared" si="11"/>
        <v>6.1409963684194026E-2</v>
      </c>
      <c r="R54" s="161">
        <f t="shared" si="11"/>
        <v>7.3837914810524805E-2</v>
      </c>
      <c r="S54" s="161">
        <f t="shared" si="11"/>
        <v>8.9114471191489991E-2</v>
      </c>
      <c r="T54" s="161">
        <f t="shared" si="11"/>
        <v>0.1079347200560085</v>
      </c>
      <c r="U54" s="161">
        <f t="shared" si="11"/>
        <v>0.13116934332754374</v>
      </c>
      <c r="V54" s="161">
        <f t="shared" si="11"/>
        <v>0.15990984966339095</v>
      </c>
      <c r="W54" s="161">
        <f t="shared" si="11"/>
        <v>0.19552558577114701</v>
      </c>
    </row>
    <row r="55" spans="1:23" ht="13">
      <c r="A55" s="119">
        <v>2</v>
      </c>
      <c r="B55" s="119" t="s">
        <v>381</v>
      </c>
      <c r="C55" s="161">
        <f>C40-C50</f>
        <v>0.42228868727735724</v>
      </c>
      <c r="D55" s="161">
        <f t="shared" ref="D55:W55" si="12">D40-D50</f>
        <v>0.47688790614288279</v>
      </c>
      <c r="E55" s="161">
        <f t="shared" si="12"/>
        <v>0.54203112215138782</v>
      </c>
      <c r="F55" s="161">
        <f t="shared" si="12"/>
        <v>0.62009375152478574</v>
      </c>
      <c r="G55" s="161">
        <f t="shared" si="12"/>
        <v>0.714024664352511</v>
      </c>
      <c r="H55" s="161">
        <f t="shared" si="12"/>
        <v>0.82748987078686453</v>
      </c>
      <c r="I55" s="161">
        <f t="shared" si="12"/>
        <v>0.96505298741210988</v>
      </c>
      <c r="J55" s="161">
        <f t="shared" si="12"/>
        <v>1.1324020171702434</v>
      </c>
      <c r="K55" s="161">
        <f t="shared" si="12"/>
        <v>1.3366344656357807</v>
      </c>
      <c r="L55" s="161">
        <f t="shared" si="12"/>
        <v>1.5866159587781627</v>
      </c>
      <c r="M55" s="161">
        <f t="shared" si="12"/>
        <v>1.8934314943512991</v>
      </c>
      <c r="N55" s="161">
        <f t="shared" si="12"/>
        <v>2.2709534676582379</v>
      </c>
      <c r="O55" s="161">
        <f t="shared" si="12"/>
        <v>2.7365569367722964</v>
      </c>
      <c r="P55" s="161">
        <f t="shared" si="12"/>
        <v>3.3120205787118184</v>
      </c>
      <c r="Q55" s="161">
        <f t="shared" si="12"/>
        <v>4.0246618742170917</v>
      </c>
      <c r="R55" s="161">
        <f t="shared" si="12"/>
        <v>4.9087677976976813</v>
      </c>
      <c r="S55" s="161">
        <f t="shared" si="12"/>
        <v>6.0073983794589623</v>
      </c>
      <c r="T55" s="161">
        <f t="shared" si="12"/>
        <v>7.3746608326272742</v>
      </c>
      <c r="U55" s="161">
        <f t="shared" si="12"/>
        <v>9.0785776133508538</v>
      </c>
      <c r="V55" s="161">
        <f t="shared" si="12"/>
        <v>11.204704220335962</v>
      </c>
      <c r="W55" s="161">
        <f t="shared" si="12"/>
        <v>13.860693521160798</v>
      </c>
    </row>
    <row r="56" spans="1:23" ht="13">
      <c r="A56" s="119">
        <v>3</v>
      </c>
      <c r="B56" s="119" t="s">
        <v>379</v>
      </c>
      <c r="C56" s="161">
        <f>C55*$K$82</f>
        <v>9.426616378846972E-2</v>
      </c>
      <c r="D56" s="161">
        <f t="shared" ref="D56:W56" si="13">D55*$K$82</f>
        <v>0.10645417417890601</v>
      </c>
      <c r="E56" s="161">
        <f t="shared" si="13"/>
        <v>0.12099588759670389</v>
      </c>
      <c r="F56" s="161">
        <f t="shared" si="13"/>
        <v>0.13842156066816413</v>
      </c>
      <c r="G56" s="161">
        <f t="shared" si="13"/>
        <v>0.15938946030693238</v>
      </c>
      <c r="H56" s="161">
        <f t="shared" si="13"/>
        <v>0.18471793832748676</v>
      </c>
      <c r="I56" s="161">
        <f t="shared" si="13"/>
        <v>0.21542571638011243</v>
      </c>
      <c r="J56" s="161">
        <f t="shared" si="13"/>
        <v>0.25278250931418533</v>
      </c>
      <c r="K56" s="161">
        <f t="shared" si="13"/>
        <v>0.29837267077955221</v>
      </c>
      <c r="L56" s="161">
        <f t="shared" si="13"/>
        <v>0.35417524633178044</v>
      </c>
      <c r="M56" s="161">
        <f t="shared" si="13"/>
        <v>0.42266470484807805</v>
      </c>
      <c r="N56" s="161">
        <f t="shared" si="13"/>
        <v>0.50693773711646195</v>
      </c>
      <c r="O56" s="161">
        <f t="shared" si="13"/>
        <v>0.61087292222161804</v>
      </c>
      <c r="P56" s="161">
        <f t="shared" si="13"/>
        <v>0.73933184513316474</v>
      </c>
      <c r="Q56" s="161">
        <f t="shared" si="13"/>
        <v>0.89841250040159526</v>
      </c>
      <c r="R56" s="161">
        <f t="shared" si="13"/>
        <v>1.0957686605358103</v>
      </c>
      <c r="S56" s="161">
        <f t="shared" si="13"/>
        <v>1.3410124794764549</v>
      </c>
      <c r="T56" s="161">
        <f t="shared" si="13"/>
        <v>1.6462221387338833</v>
      </c>
      <c r="U56" s="161">
        <f t="shared" si="13"/>
        <v>2.0265820753667949</v>
      </c>
      <c r="V56" s="161">
        <f t="shared" si="13"/>
        <v>2.5011905718938294</v>
      </c>
      <c r="W56" s="161">
        <f t="shared" si="13"/>
        <v>3.0940786363745514</v>
      </c>
    </row>
    <row r="57" spans="1:23" ht="13">
      <c r="A57" s="119">
        <v>4</v>
      </c>
      <c r="B57" s="119" t="s">
        <v>444</v>
      </c>
      <c r="C57" s="161">
        <f>C55-C56</f>
        <v>0.3280225234888875</v>
      </c>
      <c r="D57" s="161">
        <f t="shared" ref="D57:W57" si="14">D55-D56</f>
        <v>0.37043373196397678</v>
      </c>
      <c r="E57" s="161">
        <f t="shared" si="14"/>
        <v>0.42103523455468395</v>
      </c>
      <c r="F57" s="161">
        <f t="shared" si="14"/>
        <v>0.48167219085662161</v>
      </c>
      <c r="G57" s="161">
        <f t="shared" si="14"/>
        <v>0.55463520404557864</v>
      </c>
      <c r="H57" s="161">
        <f t="shared" si="14"/>
        <v>0.6427719324593778</v>
      </c>
      <c r="I57" s="161">
        <f t="shared" si="14"/>
        <v>0.74962727103199744</v>
      </c>
      <c r="J57" s="161">
        <f t="shared" si="14"/>
        <v>0.87961950785605802</v>
      </c>
      <c r="K57" s="161">
        <f t="shared" si="14"/>
        <v>1.0382617948562285</v>
      </c>
      <c r="L57" s="161">
        <f t="shared" si="14"/>
        <v>1.2324407124463823</v>
      </c>
      <c r="M57" s="161">
        <f t="shared" si="14"/>
        <v>1.470766789503221</v>
      </c>
      <c r="N57" s="161">
        <f t="shared" si="14"/>
        <v>1.7640157305417761</v>
      </c>
      <c r="O57" s="161">
        <f t="shared" si="14"/>
        <v>2.1256840145506786</v>
      </c>
      <c r="P57" s="161">
        <f t="shared" si="14"/>
        <v>2.5726887335786537</v>
      </c>
      <c r="Q57" s="161">
        <f t="shared" si="14"/>
        <v>3.1262493738154964</v>
      </c>
      <c r="R57" s="161">
        <f t="shared" si="14"/>
        <v>3.8129991371618708</v>
      </c>
      <c r="S57" s="161">
        <f t="shared" si="14"/>
        <v>4.6663858999825072</v>
      </c>
      <c r="T57" s="161">
        <f t="shared" si="14"/>
        <v>5.7284386938933913</v>
      </c>
      <c r="U57" s="161">
        <f t="shared" si="14"/>
        <v>7.0519955379840589</v>
      </c>
      <c r="V57" s="161">
        <f t="shared" si="14"/>
        <v>8.7035136484421329</v>
      </c>
      <c r="W57" s="161">
        <f t="shared" si="14"/>
        <v>10.766614884786247</v>
      </c>
    </row>
    <row r="60" spans="1:23" ht="32.25" customHeight="1">
      <c r="A60" s="368" t="s">
        <v>458</v>
      </c>
      <c r="B60" s="369"/>
      <c r="C60" s="369"/>
      <c r="D60" s="369"/>
      <c r="E60" s="369"/>
      <c r="F60" s="149"/>
      <c r="G60" s="367" t="s">
        <v>399</v>
      </c>
      <c r="H60" s="367"/>
      <c r="I60" s="367"/>
      <c r="J60" s="367"/>
    </row>
    <row r="62" spans="1:23" ht="13">
      <c r="C62" s="82" t="s">
        <v>360</v>
      </c>
      <c r="D62" s="82" t="s">
        <v>390</v>
      </c>
      <c r="E62" s="2" t="s">
        <v>391</v>
      </c>
    </row>
    <row r="63" spans="1:23" ht="13">
      <c r="B63" s="82" t="s">
        <v>392</v>
      </c>
      <c r="C63" s="83">
        <v>4484.79</v>
      </c>
      <c r="D63" s="83">
        <v>10543</v>
      </c>
      <c r="E63" s="136">
        <f>C63/D63</f>
        <v>0.42538082139808403</v>
      </c>
    </row>
    <row r="64" spans="1:23" ht="13">
      <c r="B64" s="82" t="s">
        <v>393</v>
      </c>
      <c r="C64" s="83">
        <v>237.49</v>
      </c>
      <c r="D64" s="83">
        <v>492</v>
      </c>
      <c r="E64" s="136">
        <f t="shared" ref="E64:E68" si="15">C64/D64</f>
        <v>0.48270325203252035</v>
      </c>
    </row>
    <row r="65" spans="2:11" ht="13">
      <c r="B65" s="82" t="s">
        <v>394</v>
      </c>
      <c r="C65" s="83">
        <v>75.41</v>
      </c>
      <c r="D65" s="83">
        <v>347</v>
      </c>
      <c r="E65" s="136">
        <f t="shared" si="15"/>
        <v>0.21731988472622477</v>
      </c>
    </row>
    <row r="66" spans="2:11" ht="13">
      <c r="B66" s="82" t="s">
        <v>395</v>
      </c>
      <c r="C66" s="83">
        <v>352</v>
      </c>
      <c r="D66" s="83">
        <v>343</v>
      </c>
      <c r="E66" s="136">
        <f t="shared" si="15"/>
        <v>1.0262390670553936</v>
      </c>
    </row>
    <row r="67" spans="2:11" ht="13">
      <c r="B67" s="82" t="s">
        <v>396</v>
      </c>
      <c r="C67" s="83">
        <v>117.48</v>
      </c>
      <c r="D67" s="83">
        <v>326</v>
      </c>
      <c r="E67" s="136">
        <f t="shared" si="15"/>
        <v>0.36036809815950921</v>
      </c>
    </row>
    <row r="68" spans="2:11" ht="13">
      <c r="B68" s="82" t="s">
        <v>397</v>
      </c>
      <c r="C68" s="83">
        <v>543.82000000000005</v>
      </c>
      <c r="D68" s="83">
        <v>300</v>
      </c>
      <c r="E68" s="136">
        <f t="shared" si="15"/>
        <v>1.8127333333333335</v>
      </c>
    </row>
    <row r="69" spans="2:11" ht="13">
      <c r="B69" s="2"/>
    </row>
    <row r="70" spans="2:11" ht="13">
      <c r="D70" s="82" t="s">
        <v>453</v>
      </c>
      <c r="F70" s="2" t="s">
        <v>459</v>
      </c>
      <c r="G70" s="93">
        <f>8.78/D63*10000</f>
        <v>8.3278004363084506</v>
      </c>
    </row>
    <row r="71" spans="2:11" ht="13">
      <c r="B71" s="82" t="s">
        <v>434</v>
      </c>
      <c r="C71" s="151">
        <f>913541/10000</f>
        <v>91.354100000000003</v>
      </c>
      <c r="D71" s="160">
        <f>INT(C71/D231)</f>
        <v>6</v>
      </c>
    </row>
    <row r="76" spans="2:11" ht="13">
      <c r="F76" s="82" t="s">
        <v>441</v>
      </c>
      <c r="G76" s="82" t="s">
        <v>438</v>
      </c>
      <c r="H76" s="82" t="s">
        <v>439</v>
      </c>
      <c r="I76" s="82" t="s">
        <v>440</v>
      </c>
      <c r="J76" s="82" t="s">
        <v>373</v>
      </c>
    </row>
    <row r="77" spans="2:11" ht="13">
      <c r="F77" s="82" t="s">
        <v>374</v>
      </c>
      <c r="G77" s="162">
        <v>44573021.582741998</v>
      </c>
      <c r="H77" s="162">
        <v>77834769.854434997</v>
      </c>
      <c r="I77" s="162">
        <v>70289917.224600002</v>
      </c>
      <c r="J77" s="142">
        <f>SUM(G77:I77)</f>
        <v>192697708.66177702</v>
      </c>
    </row>
    <row r="78" spans="2:11" ht="13">
      <c r="F78" s="82" t="s">
        <v>377</v>
      </c>
      <c r="G78" s="162">
        <v>8200805.7739909999</v>
      </c>
      <c r="H78" s="162">
        <v>15170485.561278</v>
      </c>
      <c r="I78" s="162">
        <v>14623781.7214</v>
      </c>
      <c r="J78" s="142">
        <f t="shared" ref="J78" si="16">SUM(G78:I78)</f>
        <v>37995073.056668997</v>
      </c>
    </row>
    <row r="79" spans="2:11" ht="13">
      <c r="F79" s="82" t="s">
        <v>365</v>
      </c>
      <c r="G79" s="162">
        <v>2374915.1575189997</v>
      </c>
      <c r="H79" s="162">
        <v>5438273.0241559995</v>
      </c>
      <c r="I79" s="162">
        <v>3520028.2406000001</v>
      </c>
      <c r="J79" s="142">
        <f>SUM(G79:I79)</f>
        <v>11333216.422274999</v>
      </c>
    </row>
    <row r="80" spans="2:11" ht="13">
      <c r="F80" s="82" t="s">
        <v>367</v>
      </c>
      <c r="G80" s="162">
        <v>14500.416386000001</v>
      </c>
      <c r="H80" s="162">
        <v>39825.438765999999</v>
      </c>
      <c r="I80" s="162">
        <v>16881.8956</v>
      </c>
      <c r="J80" s="142">
        <f>SUM(G80:I80)</f>
        <v>71207.750752000007</v>
      </c>
      <c r="K80" s="144">
        <f>J80/J79</f>
        <v>6.2831016455349711E-3</v>
      </c>
    </row>
    <row r="81" spans="6:11" ht="13">
      <c r="F81" s="82" t="s">
        <v>370</v>
      </c>
      <c r="G81" s="162">
        <v>915673.40470700001</v>
      </c>
      <c r="H81" s="162">
        <v>2047045.7779419997</v>
      </c>
      <c r="I81" s="162">
        <v>1487194.4195000001</v>
      </c>
      <c r="J81" s="142">
        <f t="shared" ref="J81:J82" si="17">SUM(G81:I81)</f>
        <v>4449913.6021489995</v>
      </c>
      <c r="K81" s="144">
        <f>J81/J79</f>
        <v>0.39264348586892472</v>
      </c>
    </row>
    <row r="82" spans="6:11" ht="13">
      <c r="F82" s="82" t="s">
        <v>368</v>
      </c>
      <c r="G82" s="162">
        <v>184460.992887</v>
      </c>
      <c r="H82" s="162">
        <v>495391.67246700003</v>
      </c>
      <c r="I82" s="162">
        <v>313487.429</v>
      </c>
      <c r="J82" s="142">
        <f t="shared" si="17"/>
        <v>993340.09435400006</v>
      </c>
      <c r="K82" s="144">
        <f>J82/J81</f>
        <v>0.22322682711733677</v>
      </c>
    </row>
    <row r="83" spans="6:11" ht="13">
      <c r="F83" s="82" t="s">
        <v>369</v>
      </c>
      <c r="G83" s="162">
        <v>731212.41182000004</v>
      </c>
      <c r="H83" s="162">
        <v>1551654.1054750001</v>
      </c>
      <c r="I83" s="162">
        <v>1173706.9905000001</v>
      </c>
      <c r="J83" s="142">
        <f>SUM(G83:I83)</f>
        <v>3456573.5077950004</v>
      </c>
      <c r="K83" s="144">
        <f>J83/J79</f>
        <v>0.30499492633011388</v>
      </c>
    </row>
    <row r="84" spans="6:11" ht="13">
      <c r="F84" s="82" t="s">
        <v>375</v>
      </c>
      <c r="G84" s="145">
        <f t="shared" ref="G84" si="18">G83/G78</f>
        <v>8.9163483683402558E-2</v>
      </c>
      <c r="H84" s="145">
        <f t="shared" ref="H84" si="19">H83/H78</f>
        <v>0.10228111019963192</v>
      </c>
      <c r="I84" s="145">
        <f t="shared" ref="I84" si="20">I83/I78</f>
        <v>8.0260155195179969E-2</v>
      </c>
      <c r="J84" s="145">
        <f t="shared" ref="J84" si="21">J83/J78</f>
        <v>9.0974256126303027E-2</v>
      </c>
    </row>
    <row r="228" spans="1:4" ht="14">
      <c r="A228" s="129"/>
      <c r="B228" s="129"/>
      <c r="C228" s="129"/>
      <c r="D228" s="129"/>
    </row>
    <row r="229" spans="1:4" ht="14">
      <c r="A229" s="370" t="s">
        <v>400</v>
      </c>
      <c r="B229" s="370" t="s">
        <v>401</v>
      </c>
      <c r="C229" s="370"/>
      <c r="D229" s="370"/>
    </row>
    <row r="230" spans="1:4" ht="28">
      <c r="A230" s="370"/>
      <c r="B230" s="370"/>
      <c r="C230" s="156" t="s">
        <v>433</v>
      </c>
      <c r="D230" s="157" t="s">
        <v>431</v>
      </c>
    </row>
    <row r="231" spans="1:4" ht="14">
      <c r="A231" s="155" t="s">
        <v>432</v>
      </c>
      <c r="B231" s="159">
        <v>1411778724</v>
      </c>
      <c r="C231" s="159">
        <v>10543</v>
      </c>
      <c r="D231" s="158">
        <f>B231/C231/10000</f>
        <v>13.390673660248506</v>
      </c>
    </row>
    <row r="232" spans="1:4" ht="14">
      <c r="A232" s="156" t="s">
        <v>402</v>
      </c>
      <c r="B232" s="154">
        <v>21893095</v>
      </c>
      <c r="C232" s="154">
        <v>586</v>
      </c>
      <c r="D232" s="158">
        <f>B232/C232/10000</f>
        <v>3.7360230375426617</v>
      </c>
    </row>
    <row r="233" spans="1:4" ht="14">
      <c r="A233" s="156" t="s">
        <v>403</v>
      </c>
      <c r="B233" s="154">
        <v>13866009</v>
      </c>
      <c r="C233" s="154">
        <v>185</v>
      </c>
      <c r="D233" s="158">
        <f t="shared" ref="D233:D262" si="22">B233/C233/10000</f>
        <v>7.4951399999999992</v>
      </c>
    </row>
    <row r="234" spans="1:4" ht="14">
      <c r="A234" s="156" t="s">
        <v>404</v>
      </c>
      <c r="B234" s="154">
        <v>74610235</v>
      </c>
      <c r="C234" s="154">
        <v>279</v>
      </c>
      <c r="D234" s="158">
        <f t="shared" si="22"/>
        <v>26.742019713261648</v>
      </c>
    </row>
    <row r="235" spans="1:4" ht="14">
      <c r="A235" s="156" t="s">
        <v>405</v>
      </c>
      <c r="B235" s="154">
        <v>34915616</v>
      </c>
      <c r="C235" s="154">
        <v>217</v>
      </c>
      <c r="D235" s="158">
        <f t="shared" si="22"/>
        <v>16.090145622119817</v>
      </c>
    </row>
    <row r="236" spans="1:4" ht="14">
      <c r="A236" s="156" t="s">
        <v>334</v>
      </c>
      <c r="B236" s="154">
        <v>24049155</v>
      </c>
      <c r="C236" s="154">
        <v>123</v>
      </c>
      <c r="D236" s="158">
        <f t="shared" si="22"/>
        <v>19.552158536585367</v>
      </c>
    </row>
    <row r="237" spans="1:4" ht="14">
      <c r="A237" s="156" t="s">
        <v>406</v>
      </c>
      <c r="B237" s="154">
        <v>42591407</v>
      </c>
      <c r="C237" s="154">
        <v>388</v>
      </c>
      <c r="D237" s="158">
        <f t="shared" si="22"/>
        <v>10.97716675257732</v>
      </c>
    </row>
    <row r="238" spans="1:4" ht="14">
      <c r="A238" s="156" t="s">
        <v>407</v>
      </c>
      <c r="B238" s="154">
        <v>24073453</v>
      </c>
      <c r="C238" s="154">
        <v>157</v>
      </c>
      <c r="D238" s="158">
        <f t="shared" si="22"/>
        <v>15.333409554140127</v>
      </c>
    </row>
    <row r="239" spans="1:4" ht="14">
      <c r="A239" s="156" t="s">
        <v>320</v>
      </c>
      <c r="B239" s="154">
        <v>31850088</v>
      </c>
      <c r="C239" s="154">
        <v>186</v>
      </c>
      <c r="D239" s="158">
        <f t="shared" si="22"/>
        <v>17.123703225806452</v>
      </c>
    </row>
    <row r="240" spans="1:4" ht="14">
      <c r="A240" s="156" t="s">
        <v>408</v>
      </c>
      <c r="B240" s="154">
        <v>24870895</v>
      </c>
      <c r="C240" s="154">
        <v>845</v>
      </c>
      <c r="D240" s="158">
        <f t="shared" si="22"/>
        <v>2.9433011834319527</v>
      </c>
    </row>
    <row r="241" spans="1:4" ht="14">
      <c r="A241" s="156" t="s">
        <v>409</v>
      </c>
      <c r="B241" s="154">
        <v>84748016</v>
      </c>
      <c r="C241" s="154">
        <v>1016</v>
      </c>
      <c r="D241" s="158">
        <f t="shared" si="22"/>
        <v>8.3413401574803157</v>
      </c>
    </row>
    <row r="242" spans="1:4" ht="14">
      <c r="A242" s="156" t="s">
        <v>410</v>
      </c>
      <c r="B242" s="154">
        <v>64567588</v>
      </c>
      <c r="C242" s="154">
        <v>1092</v>
      </c>
      <c r="D242" s="158">
        <f t="shared" si="22"/>
        <v>5.9127827838827844</v>
      </c>
    </row>
    <row r="243" spans="1:4" ht="14">
      <c r="A243" s="156" t="s">
        <v>411</v>
      </c>
      <c r="B243" s="154">
        <v>61027171</v>
      </c>
      <c r="C243" s="154">
        <v>350</v>
      </c>
      <c r="D243" s="158">
        <f t="shared" si="22"/>
        <v>17.436334571428571</v>
      </c>
    </row>
    <row r="244" spans="1:4" ht="14">
      <c r="A244" s="156" t="s">
        <v>412</v>
      </c>
      <c r="B244" s="154">
        <v>41540086</v>
      </c>
      <c r="C244" s="154">
        <v>542</v>
      </c>
      <c r="D244" s="158">
        <f t="shared" si="22"/>
        <v>7.6642225092250928</v>
      </c>
    </row>
    <row r="245" spans="1:4" ht="14">
      <c r="A245" s="156" t="s">
        <v>413</v>
      </c>
      <c r="B245" s="154">
        <v>45188635</v>
      </c>
      <c r="C245" s="154">
        <v>351</v>
      </c>
      <c r="D245" s="158">
        <f t="shared" si="22"/>
        <v>12.874254985754986</v>
      </c>
    </row>
    <row r="246" spans="1:4" ht="14">
      <c r="A246" s="156" t="s">
        <v>414</v>
      </c>
      <c r="B246" s="154">
        <v>101527453</v>
      </c>
      <c r="C246" s="154">
        <v>661</v>
      </c>
      <c r="D246" s="158">
        <f t="shared" si="22"/>
        <v>15.359675189107412</v>
      </c>
    </row>
    <row r="247" spans="1:4" ht="14">
      <c r="A247" s="156" t="s">
        <v>415</v>
      </c>
      <c r="B247" s="154">
        <v>99365519</v>
      </c>
      <c r="C247" s="154">
        <v>410</v>
      </c>
      <c r="D247" s="158">
        <f t="shared" si="22"/>
        <v>24.235492439024387</v>
      </c>
    </row>
    <row r="248" spans="1:4" ht="14">
      <c r="A248" s="156" t="s">
        <v>416</v>
      </c>
      <c r="B248" s="154">
        <v>57752557</v>
      </c>
      <c r="C248" s="154">
        <v>421</v>
      </c>
      <c r="D248" s="158">
        <f t="shared" si="22"/>
        <v>13.717947030878859</v>
      </c>
    </row>
    <row r="249" spans="1:4" ht="14">
      <c r="A249" s="156" t="s">
        <v>417</v>
      </c>
      <c r="B249" s="154">
        <v>66444864</v>
      </c>
      <c r="C249" s="154">
        <v>427</v>
      </c>
      <c r="D249" s="158">
        <f t="shared" si="22"/>
        <v>15.560858079625294</v>
      </c>
    </row>
    <row r="250" spans="1:4" ht="14">
      <c r="A250" s="156" t="s">
        <v>418</v>
      </c>
      <c r="B250" s="154">
        <v>126012510</v>
      </c>
      <c r="C250" s="154">
        <v>1582</v>
      </c>
      <c r="D250" s="158">
        <f t="shared" si="22"/>
        <v>7.9653925410872315</v>
      </c>
    </row>
    <row r="251" spans="1:4" ht="14">
      <c r="A251" s="156" t="s">
        <v>419</v>
      </c>
      <c r="B251" s="154">
        <v>50126804</v>
      </c>
      <c r="C251" s="154">
        <v>206</v>
      </c>
      <c r="D251" s="158">
        <f t="shared" si="22"/>
        <v>24.333400000000001</v>
      </c>
    </row>
    <row r="252" spans="1:4" ht="14">
      <c r="A252" s="156" t="s">
        <v>420</v>
      </c>
      <c r="B252" s="154">
        <v>10081232</v>
      </c>
      <c r="C252" s="154">
        <v>80</v>
      </c>
      <c r="D252" s="158">
        <f t="shared" si="22"/>
        <v>12.60154</v>
      </c>
    </row>
    <row r="253" spans="1:4" ht="14">
      <c r="A253" s="156" t="s">
        <v>421</v>
      </c>
      <c r="B253" s="154">
        <v>32054159</v>
      </c>
      <c r="C253" s="154">
        <v>233</v>
      </c>
      <c r="D253" s="158">
        <f t="shared" si="22"/>
        <v>13.757149785407726</v>
      </c>
    </row>
    <row r="254" spans="1:4" ht="14">
      <c r="A254" s="156" t="s">
        <v>422</v>
      </c>
      <c r="B254" s="154">
        <v>83674866</v>
      </c>
      <c r="C254" s="154">
        <v>474</v>
      </c>
      <c r="D254" s="158">
        <f t="shared" si="22"/>
        <v>17.652925316455697</v>
      </c>
    </row>
    <row r="255" spans="1:4" ht="14">
      <c r="A255" s="156" t="s">
        <v>423</v>
      </c>
      <c r="B255" s="154">
        <v>38562148</v>
      </c>
      <c r="C255" s="154">
        <v>126</v>
      </c>
      <c r="D255" s="158">
        <f t="shared" si="22"/>
        <v>30.604879365079366</v>
      </c>
    </row>
    <row r="256" spans="1:4" ht="14">
      <c r="A256" s="156" t="s">
        <v>424</v>
      </c>
      <c r="B256" s="154">
        <v>47209277</v>
      </c>
      <c r="C256" s="154">
        <v>176</v>
      </c>
      <c r="D256" s="158">
        <f t="shared" si="22"/>
        <v>26.823452840909088</v>
      </c>
    </row>
    <row r="257" spans="1:4" ht="14">
      <c r="A257" s="156" t="s">
        <v>425</v>
      </c>
      <c r="B257" s="154">
        <v>3648100</v>
      </c>
      <c r="C257" s="154">
        <v>26</v>
      </c>
      <c r="D257" s="158">
        <f t="shared" si="22"/>
        <v>14.031153846153847</v>
      </c>
    </row>
    <row r="258" spans="1:4" ht="14">
      <c r="A258" s="156" t="s">
        <v>426</v>
      </c>
      <c r="B258" s="154">
        <v>39528999</v>
      </c>
      <c r="C258" s="154">
        <v>294</v>
      </c>
      <c r="D258" s="158">
        <f t="shared" si="22"/>
        <v>13.445237755102042</v>
      </c>
    </row>
    <row r="259" spans="1:4" ht="14">
      <c r="A259" s="156" t="s">
        <v>427</v>
      </c>
      <c r="B259" s="154">
        <v>25019831</v>
      </c>
      <c r="C259" s="154">
        <v>113</v>
      </c>
      <c r="D259" s="158">
        <f t="shared" si="22"/>
        <v>22.141443362831861</v>
      </c>
    </row>
    <row r="260" spans="1:4" ht="14">
      <c r="A260" s="156" t="s">
        <v>428</v>
      </c>
      <c r="B260" s="154">
        <v>5923957</v>
      </c>
      <c r="C260" s="154">
        <v>31</v>
      </c>
      <c r="D260" s="158">
        <f t="shared" si="22"/>
        <v>19.10953870967742</v>
      </c>
    </row>
    <row r="261" spans="1:4" ht="14">
      <c r="A261" s="156" t="s">
        <v>429</v>
      </c>
      <c r="B261" s="154">
        <v>7202654</v>
      </c>
      <c r="C261" s="154">
        <v>56</v>
      </c>
      <c r="D261" s="158">
        <f t="shared" si="22"/>
        <v>12.861882142857143</v>
      </c>
    </row>
    <row r="262" spans="1:4" ht="14">
      <c r="A262" s="156" t="s">
        <v>430</v>
      </c>
      <c r="B262" s="154">
        <v>25852345</v>
      </c>
      <c r="C262" s="154">
        <v>123</v>
      </c>
      <c r="D262" s="158">
        <f t="shared" si="22"/>
        <v>21.018166666666666</v>
      </c>
    </row>
  </sheetData>
  <mergeCells count="10">
    <mergeCell ref="A24:W24"/>
    <mergeCell ref="A16:W16"/>
    <mergeCell ref="A33:W33"/>
    <mergeCell ref="A43:W43"/>
    <mergeCell ref="A52:W52"/>
    <mergeCell ref="G60:J60"/>
    <mergeCell ref="A60:E60"/>
    <mergeCell ref="A229:A230"/>
    <mergeCell ref="B229:B230"/>
    <mergeCell ref="C229:D229"/>
  </mergeCells>
  <phoneticPr fontId="7" type="noConversion"/>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3:C43"/>
  <sheetViews>
    <sheetView workbookViewId="0">
      <selection activeCell="K39" sqref="K39"/>
    </sheetView>
  </sheetViews>
  <sheetFormatPr defaultRowHeight="12.5"/>
  <cols>
    <col min="2" max="2" width="25.81640625" customWidth="1"/>
    <col min="3" max="3" width="17.1796875" customWidth="1"/>
  </cols>
  <sheetData>
    <row r="3" spans="1:3" ht="13">
      <c r="A3" s="201" t="s">
        <v>593</v>
      </c>
      <c r="B3" s="201" t="s">
        <v>594</v>
      </c>
      <c r="C3" s="201" t="s">
        <v>595</v>
      </c>
    </row>
    <row r="4" spans="1:3" ht="13">
      <c r="A4" s="330" t="s">
        <v>587</v>
      </c>
      <c r="B4" s="201" t="s">
        <v>516</v>
      </c>
      <c r="C4" s="202">
        <v>10</v>
      </c>
    </row>
    <row r="5" spans="1:3" ht="13">
      <c r="A5" s="374"/>
      <c r="B5" s="201" t="s">
        <v>517</v>
      </c>
      <c r="C5" s="89">
        <v>0.7</v>
      </c>
    </row>
    <row r="6" spans="1:3" ht="13">
      <c r="A6" s="374"/>
      <c r="B6" s="201" t="s">
        <v>518</v>
      </c>
      <c r="C6" s="202">
        <v>2.5</v>
      </c>
    </row>
    <row r="7" spans="1:3" ht="13">
      <c r="A7" s="374"/>
      <c r="B7" s="201" t="s">
        <v>519</v>
      </c>
      <c r="C7" s="202">
        <f>C4*C5*C6</f>
        <v>17.5</v>
      </c>
    </row>
    <row r="8" spans="1:3" ht="13">
      <c r="A8" s="374"/>
      <c r="B8" s="201" t="s">
        <v>520</v>
      </c>
      <c r="C8" s="89">
        <v>0.27</v>
      </c>
    </row>
    <row r="9" spans="1:3" ht="13">
      <c r="A9" s="374"/>
      <c r="B9" s="201" t="s">
        <v>524</v>
      </c>
      <c r="C9" s="89">
        <v>0.03</v>
      </c>
    </row>
    <row r="10" spans="1:3" ht="13">
      <c r="A10" s="374"/>
      <c r="B10" s="201" t="s">
        <v>521</v>
      </c>
      <c r="C10" s="89">
        <v>0.1</v>
      </c>
    </row>
    <row r="11" spans="1:3" ht="13">
      <c r="A11" s="374"/>
      <c r="B11" s="201" t="s">
        <v>522</v>
      </c>
      <c r="C11" s="89">
        <v>0.2</v>
      </c>
    </row>
    <row r="12" spans="1:3" ht="13">
      <c r="A12" s="374"/>
      <c r="B12" s="201" t="s">
        <v>523</v>
      </c>
      <c r="C12" s="89">
        <v>0.4</v>
      </c>
    </row>
    <row r="13" spans="1:3" ht="13">
      <c r="A13" s="216"/>
      <c r="B13" s="192"/>
      <c r="C13" s="206"/>
    </row>
    <row r="14" spans="1:3" ht="13">
      <c r="A14" s="371" t="s">
        <v>588</v>
      </c>
      <c r="B14" s="201" t="s">
        <v>546</v>
      </c>
      <c r="C14" s="202">
        <f>C8*$C$7</f>
        <v>4.7250000000000005</v>
      </c>
    </row>
    <row r="15" spans="1:3" ht="13">
      <c r="A15" s="372"/>
      <c r="B15" s="201" t="s">
        <v>547</v>
      </c>
      <c r="C15" s="202">
        <f t="shared" ref="C15:C18" si="0">C9*$C$7</f>
        <v>0.52500000000000002</v>
      </c>
    </row>
    <row r="16" spans="1:3" ht="13">
      <c r="A16" s="372"/>
      <c r="B16" s="201" t="s">
        <v>548</v>
      </c>
      <c r="C16" s="202">
        <f t="shared" si="0"/>
        <v>1.75</v>
      </c>
    </row>
    <row r="17" spans="1:3" ht="13">
      <c r="A17" s="372"/>
      <c r="B17" s="201" t="s">
        <v>549</v>
      </c>
      <c r="C17" s="202">
        <f t="shared" si="0"/>
        <v>3.5</v>
      </c>
    </row>
    <row r="18" spans="1:3" ht="13">
      <c r="A18" s="373"/>
      <c r="B18" s="201" t="s">
        <v>550</v>
      </c>
      <c r="C18" s="202">
        <f t="shared" si="0"/>
        <v>7</v>
      </c>
    </row>
    <row r="19" spans="1:3" ht="13">
      <c r="A19" s="217"/>
      <c r="B19" s="201"/>
      <c r="C19" s="202"/>
    </row>
    <row r="20" spans="1:3" ht="13">
      <c r="A20" s="371" t="s">
        <v>589</v>
      </c>
      <c r="B20" s="201" t="s">
        <v>551</v>
      </c>
      <c r="C20" s="89">
        <v>0.3</v>
      </c>
    </row>
    <row r="21" spans="1:3" ht="13">
      <c r="A21" s="372"/>
      <c r="B21" s="201" t="s">
        <v>552</v>
      </c>
      <c r="C21" s="89">
        <v>0.7</v>
      </c>
    </row>
    <row r="22" spans="1:3" ht="13">
      <c r="A22" s="372"/>
      <c r="B22" s="201" t="s">
        <v>553</v>
      </c>
      <c r="C22" s="202">
        <f>$C$7*C20</f>
        <v>5.25</v>
      </c>
    </row>
    <row r="23" spans="1:3" ht="13">
      <c r="A23" s="372"/>
      <c r="B23" s="201" t="s">
        <v>554</v>
      </c>
      <c r="C23" s="202">
        <f>$C$7*C21</f>
        <v>12.25</v>
      </c>
    </row>
    <row r="24" spans="1:3" ht="13">
      <c r="A24" s="373"/>
      <c r="B24" s="201" t="s">
        <v>577</v>
      </c>
      <c r="C24" s="202">
        <v>5000</v>
      </c>
    </row>
    <row r="25" spans="1:3">
      <c r="A25" s="217"/>
      <c r="B25" s="202"/>
      <c r="C25" s="202"/>
    </row>
    <row r="26" spans="1:3" ht="13">
      <c r="A26" s="371" t="s">
        <v>590</v>
      </c>
      <c r="B26" s="201" t="s">
        <v>562</v>
      </c>
      <c r="C26" s="202" t="e">
        <f>INT(C14/城商银行参数!#REF!*10000)</f>
        <v>#REF!</v>
      </c>
    </row>
    <row r="27" spans="1:3" ht="13">
      <c r="A27" s="372"/>
      <c r="B27" s="201" t="s">
        <v>563</v>
      </c>
      <c r="C27" s="202">
        <f>INT(C15/其他非银金融服务参数!B19*10000)</f>
        <v>331</v>
      </c>
    </row>
    <row r="28" spans="1:3" ht="13">
      <c r="A28" s="372"/>
      <c r="B28" s="201" t="s">
        <v>564</v>
      </c>
      <c r="C28" s="202">
        <f>INT(C16/其他非银金融服务参数!C19*10000)</f>
        <v>790</v>
      </c>
    </row>
    <row r="29" spans="1:3" ht="13">
      <c r="A29" s="372"/>
      <c r="B29" s="201" t="s">
        <v>565</v>
      </c>
      <c r="C29" s="202">
        <f>INT(C17/其他非银金融服务参数!D19*10000)</f>
        <v>2378</v>
      </c>
    </row>
    <row r="30" spans="1:3" ht="13">
      <c r="A30" s="372"/>
      <c r="B30" s="201" t="s">
        <v>566</v>
      </c>
      <c r="C30" s="202">
        <f>INT(C18/其他非银金融服务参数!E19*10000)</f>
        <v>5891</v>
      </c>
    </row>
    <row r="31" spans="1:3" ht="13">
      <c r="A31" s="373"/>
      <c r="B31" s="201" t="s">
        <v>76</v>
      </c>
      <c r="C31" s="202" t="e">
        <f>SUM(C26:C30)</f>
        <v>#REF!</v>
      </c>
    </row>
    <row r="32" spans="1:3">
      <c r="A32" s="217"/>
      <c r="B32" s="1"/>
      <c r="C32" s="1"/>
    </row>
    <row r="33" spans="1:3" ht="13">
      <c r="A33" s="371" t="s">
        <v>591</v>
      </c>
      <c r="B33" s="201" t="s">
        <v>567</v>
      </c>
      <c r="C33" s="202" t="e">
        <f>INT(C14*10000/城商银行参数!#REF!)</f>
        <v>#REF!</v>
      </c>
    </row>
    <row r="34" spans="1:3" ht="13">
      <c r="A34" s="372"/>
      <c r="B34" s="201" t="s">
        <v>568</v>
      </c>
      <c r="C34" s="202">
        <f>INT(C15*10000/其他非银金融服务参数!B17)</f>
        <v>14</v>
      </c>
    </row>
    <row r="35" spans="1:3" ht="13">
      <c r="A35" s="372"/>
      <c r="B35" s="201" t="s">
        <v>569</v>
      </c>
      <c r="C35" s="202">
        <f>INT(C16*10000/其他非银金融服务参数!C17)</f>
        <v>14</v>
      </c>
    </row>
    <row r="36" spans="1:3" ht="13">
      <c r="A36" s="372"/>
      <c r="B36" s="201" t="s">
        <v>570</v>
      </c>
      <c r="C36" s="202">
        <f>INT(C17*10000/其他非银金融服务参数!D17)</f>
        <v>13</v>
      </c>
    </row>
    <row r="37" spans="1:3" ht="13">
      <c r="A37" s="373"/>
      <c r="B37" s="201" t="s">
        <v>571</v>
      </c>
      <c r="C37" s="202">
        <f>INT(C18*10000/其他非银金融服务参数!E17)</f>
        <v>8</v>
      </c>
    </row>
    <row r="38" spans="1:3">
      <c r="A38" s="217"/>
      <c r="B38" s="1"/>
      <c r="C38" s="1"/>
    </row>
    <row r="39" spans="1:3" ht="13">
      <c r="A39" s="371" t="s">
        <v>592</v>
      </c>
      <c r="B39" s="201" t="s">
        <v>537</v>
      </c>
      <c r="C39" s="176" t="e">
        <f>C33*城商银行参数!#REF!+输入参数!C34*其他非银金融服务参数!B24+输入参数!C35*其他非银金融服务参数!C24+输入参数!C36*其他非银金融服务参数!D24+输入参数!C37*其他非银金融服务参数!E24</f>
        <v>#REF!</v>
      </c>
    </row>
    <row r="40" spans="1:3" ht="13">
      <c r="A40" s="372"/>
      <c r="B40" s="201" t="s">
        <v>572</v>
      </c>
      <c r="C40" s="176" t="e">
        <f>C33*城商银行参数!#REF!+输入参数!C34*其他非银金融服务参数!B25+输入参数!C35*其他非银金融服务参数!C25+输入参数!C36*其他非银金融服务参数!D25+输入参数!C37*其他非银金融服务参数!E25</f>
        <v>#REF!</v>
      </c>
    </row>
    <row r="41" spans="1:3" ht="13">
      <c r="A41" s="372"/>
      <c r="B41" s="201" t="s">
        <v>573</v>
      </c>
      <c r="C41" s="176" t="e">
        <f>C33*城商银行参数!#REF!+输入参数!C34*其他非银金融服务参数!B26+输入参数!C35*其他非银金融服务参数!C26+输入参数!C36*其他非银金融服务参数!D26+输入参数!C37*其他非银金融服务参数!E26</f>
        <v>#REF!</v>
      </c>
    </row>
    <row r="42" spans="1:3" ht="13">
      <c r="A42" s="372"/>
      <c r="B42" s="201" t="s">
        <v>303</v>
      </c>
      <c r="C42" s="176" t="e">
        <f>C33*城商银行参数!#REF!+输入参数!C34*其他非银金融服务参数!B27+输入参数!C35*其他非银金融服务参数!C27+输入参数!C36*其他非银金融服务参数!D27+输入参数!C37*其他非银金融服务参数!E27</f>
        <v>#REF!</v>
      </c>
    </row>
    <row r="43" spans="1:3" ht="13">
      <c r="A43" s="373"/>
      <c r="B43" s="201" t="s">
        <v>576</v>
      </c>
      <c r="C43" s="176" t="e">
        <f>C33*城商银行参数!#REF!+输入参数!C34*其他非银金融服务参数!B30+输入参数!C35*其他非银金融服务参数!C30+输入参数!C36*其他非银金融服务参数!D30+输入参数!C37*其他非银金融服务参数!E30</f>
        <v>#REF!</v>
      </c>
    </row>
  </sheetData>
  <mergeCells count="6">
    <mergeCell ref="A39:A43"/>
    <mergeCell ref="A4:A12"/>
    <mergeCell ref="A14:A18"/>
    <mergeCell ref="A20:A24"/>
    <mergeCell ref="A26:A31"/>
    <mergeCell ref="A33:A37"/>
  </mergeCells>
  <phoneticPr fontId="7" type="noConversion"/>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V45"/>
  <sheetViews>
    <sheetView workbookViewId="0">
      <selection activeCell="W12" sqref="W12"/>
    </sheetView>
  </sheetViews>
  <sheetFormatPr defaultRowHeight="12.5"/>
  <cols>
    <col min="1" max="1" width="28" bestFit="1" customWidth="1"/>
    <col min="2" max="2" width="9.453125" bestFit="1" customWidth="1"/>
    <col min="4" max="5" width="10.453125" bestFit="1" customWidth="1"/>
    <col min="6" max="21" width="9.453125" bestFit="1" customWidth="1"/>
  </cols>
  <sheetData>
    <row r="1" spans="1:22" ht="13">
      <c r="A1" s="375" t="s">
        <v>278</v>
      </c>
      <c r="B1" s="375"/>
      <c r="C1" s="375"/>
      <c r="D1" s="375"/>
      <c r="E1" s="375"/>
      <c r="F1" s="375"/>
      <c r="G1" s="375"/>
      <c r="H1" s="375"/>
      <c r="I1" s="375"/>
      <c r="J1" s="375"/>
      <c r="K1" s="375"/>
      <c r="L1" s="375"/>
      <c r="M1" s="375"/>
      <c r="N1" s="375"/>
      <c r="O1" s="375"/>
      <c r="P1" s="375"/>
      <c r="Q1" s="375"/>
      <c r="R1" s="375"/>
      <c r="S1" s="375"/>
      <c r="T1" s="375"/>
      <c r="U1" s="375"/>
    </row>
    <row r="2" spans="1:22" s="11" customFormat="1" ht="13">
      <c r="A2" s="9" t="s">
        <v>100</v>
      </c>
      <c r="B2" s="376" t="s">
        <v>99</v>
      </c>
      <c r="C2" s="377"/>
      <c r="D2" s="376" t="s">
        <v>59</v>
      </c>
      <c r="E2" s="378"/>
      <c r="F2" s="378"/>
      <c r="G2" s="378"/>
      <c r="H2" s="378"/>
      <c r="I2" s="378"/>
      <c r="J2" s="378"/>
      <c r="K2" s="378"/>
      <c r="L2" s="378"/>
      <c r="M2" s="378"/>
      <c r="N2" s="378"/>
      <c r="O2" s="378"/>
      <c r="P2" s="378"/>
      <c r="Q2" s="378"/>
      <c r="R2" s="378"/>
      <c r="S2" s="378"/>
      <c r="T2" s="378"/>
      <c r="U2" s="377"/>
    </row>
    <row r="3" spans="1:22" s="11" customFormat="1" ht="13">
      <c r="A3" s="9" t="s">
        <v>98</v>
      </c>
      <c r="B3" s="9">
        <v>1</v>
      </c>
      <c r="C3" s="9">
        <v>2</v>
      </c>
      <c r="D3" s="9">
        <v>3</v>
      </c>
      <c r="E3" s="9">
        <v>4</v>
      </c>
      <c r="F3" s="9">
        <v>5</v>
      </c>
      <c r="G3" s="9">
        <v>6</v>
      </c>
      <c r="H3" s="9">
        <v>7</v>
      </c>
      <c r="I3" s="9">
        <v>8</v>
      </c>
      <c r="J3" s="9">
        <v>9</v>
      </c>
      <c r="K3" s="9">
        <v>10</v>
      </c>
      <c r="L3" s="9">
        <v>11</v>
      </c>
      <c r="M3" s="9">
        <v>12</v>
      </c>
      <c r="N3" s="9">
        <v>13</v>
      </c>
      <c r="O3" s="9">
        <v>14</v>
      </c>
      <c r="P3" s="9">
        <v>15</v>
      </c>
      <c r="Q3" s="9">
        <v>16</v>
      </c>
      <c r="R3" s="9">
        <v>17</v>
      </c>
      <c r="S3" s="9">
        <v>18</v>
      </c>
      <c r="T3" s="9">
        <v>19</v>
      </c>
      <c r="U3" s="9">
        <v>20</v>
      </c>
    </row>
    <row r="4" spans="1:22" s="11" customFormat="1" ht="13">
      <c r="A4" s="8" t="s">
        <v>288</v>
      </c>
      <c r="B4" s="37" t="e">
        <f>城商银行参数!#REF!</f>
        <v>#REF!</v>
      </c>
      <c r="C4" s="37">
        <v>500</v>
      </c>
      <c r="D4" s="37">
        <v>500</v>
      </c>
      <c r="E4" s="37">
        <v>500</v>
      </c>
      <c r="F4" s="37">
        <v>500</v>
      </c>
      <c r="G4" s="37">
        <v>500</v>
      </c>
      <c r="H4" s="37">
        <v>500</v>
      </c>
      <c r="I4" s="37">
        <v>500</v>
      </c>
      <c r="J4" s="37">
        <v>500</v>
      </c>
      <c r="K4" s="37">
        <v>500</v>
      </c>
      <c r="L4" s="37">
        <v>500</v>
      </c>
      <c r="M4" s="37">
        <v>500</v>
      </c>
      <c r="N4" s="37">
        <v>500</v>
      </c>
      <c r="O4" s="37">
        <v>500</v>
      </c>
      <c r="P4" s="37">
        <v>500</v>
      </c>
      <c r="Q4" s="37">
        <v>500</v>
      </c>
      <c r="R4" s="37">
        <v>500</v>
      </c>
      <c r="S4" s="37">
        <v>500</v>
      </c>
      <c r="T4" s="37">
        <v>500</v>
      </c>
      <c r="U4" s="37">
        <v>500</v>
      </c>
    </row>
    <row r="5" spans="1:22" s="11" customFormat="1" ht="13">
      <c r="A5" s="8" t="s">
        <v>289</v>
      </c>
      <c r="B5" s="37" t="e">
        <f>城商银行参数!#REF!*B7</f>
        <v>#REF!</v>
      </c>
      <c r="C5" s="37" t="e">
        <f>城商银行参数!#REF!*C7</f>
        <v>#REF!</v>
      </c>
      <c r="D5" s="37" t="e">
        <f>城商银行参数!#REF!*D7</f>
        <v>#REF!</v>
      </c>
      <c r="E5" s="37" t="e">
        <f>城商银行参数!#REF!*E7</f>
        <v>#REF!</v>
      </c>
      <c r="F5" s="37" t="e">
        <f>城商银行参数!#REF!*F7</f>
        <v>#REF!</v>
      </c>
      <c r="G5" s="37" t="e">
        <f>城商银行参数!#REF!*G7</f>
        <v>#REF!</v>
      </c>
      <c r="H5" s="37" t="e">
        <f>城商银行参数!#REF!*H7</f>
        <v>#REF!</v>
      </c>
      <c r="I5" s="37" t="e">
        <f>城商银行参数!#REF!*I7</f>
        <v>#REF!</v>
      </c>
      <c r="J5" s="37" t="e">
        <f>城商银行参数!#REF!*J7</f>
        <v>#REF!</v>
      </c>
      <c r="K5" s="37" t="e">
        <f>城商银行参数!#REF!*K7</f>
        <v>#REF!</v>
      </c>
      <c r="L5" s="37" t="e">
        <f>城商银行参数!#REF!*L7</f>
        <v>#REF!</v>
      </c>
      <c r="M5" s="37" t="e">
        <f>城商银行参数!#REF!*M7</f>
        <v>#REF!</v>
      </c>
      <c r="N5" s="37" t="e">
        <f>城商银行参数!#REF!*N7</f>
        <v>#REF!</v>
      </c>
      <c r="O5" s="37" t="e">
        <f>城商银行参数!#REF!*O7</f>
        <v>#REF!</v>
      </c>
      <c r="P5" s="37" t="e">
        <f>城商银行参数!#REF!*P7</f>
        <v>#REF!</v>
      </c>
      <c r="Q5" s="37" t="e">
        <f>城商银行参数!#REF!*Q7</f>
        <v>#REF!</v>
      </c>
      <c r="R5" s="37" t="e">
        <f>城商银行参数!#REF!*R7</f>
        <v>#REF!</v>
      </c>
      <c r="S5" s="37" t="e">
        <f>城商银行参数!#REF!*S7</f>
        <v>#REF!</v>
      </c>
      <c r="T5" s="37" t="e">
        <f>城商银行参数!#REF!*T7</f>
        <v>#REF!</v>
      </c>
      <c r="U5" s="37" t="e">
        <f>城商银行参数!#REF!*U7</f>
        <v>#REF!</v>
      </c>
      <c r="V5"/>
    </row>
    <row r="6" spans="1:22" ht="13">
      <c r="A6" s="8" t="s">
        <v>287</v>
      </c>
      <c r="B6" s="163" t="e">
        <f>城商银行参数!#REF!</f>
        <v>#REF!</v>
      </c>
      <c r="C6" s="163" t="e">
        <f>B6*(1+3%)</f>
        <v>#REF!</v>
      </c>
      <c r="D6" s="163" t="e">
        <f t="shared" ref="D6:U6" si="0">C6*(1+3%)</f>
        <v>#REF!</v>
      </c>
      <c r="E6" s="163" t="e">
        <f t="shared" si="0"/>
        <v>#REF!</v>
      </c>
      <c r="F6" s="163" t="e">
        <f t="shared" si="0"/>
        <v>#REF!</v>
      </c>
      <c r="G6" s="163" t="e">
        <f t="shared" si="0"/>
        <v>#REF!</v>
      </c>
      <c r="H6" s="163" t="e">
        <f t="shared" si="0"/>
        <v>#REF!</v>
      </c>
      <c r="I6" s="163" t="e">
        <f t="shared" si="0"/>
        <v>#REF!</v>
      </c>
      <c r="J6" s="163" t="e">
        <f t="shared" si="0"/>
        <v>#REF!</v>
      </c>
      <c r="K6" s="163" t="e">
        <f t="shared" si="0"/>
        <v>#REF!</v>
      </c>
      <c r="L6" s="163" t="e">
        <f t="shared" si="0"/>
        <v>#REF!</v>
      </c>
      <c r="M6" s="163" t="e">
        <f t="shared" si="0"/>
        <v>#REF!</v>
      </c>
      <c r="N6" s="163" t="e">
        <f t="shared" si="0"/>
        <v>#REF!</v>
      </c>
      <c r="O6" s="163" t="e">
        <f t="shared" si="0"/>
        <v>#REF!</v>
      </c>
      <c r="P6" s="163" t="e">
        <f t="shared" si="0"/>
        <v>#REF!</v>
      </c>
      <c r="Q6" s="163" t="e">
        <f t="shared" si="0"/>
        <v>#REF!</v>
      </c>
      <c r="R6" s="163" t="e">
        <f t="shared" si="0"/>
        <v>#REF!</v>
      </c>
      <c r="S6" s="163" t="e">
        <f t="shared" si="0"/>
        <v>#REF!</v>
      </c>
      <c r="T6" s="163" t="e">
        <f t="shared" si="0"/>
        <v>#REF!</v>
      </c>
      <c r="U6" s="163" t="e">
        <f t="shared" si="0"/>
        <v>#REF!</v>
      </c>
    </row>
    <row r="7" spans="1:22" ht="13">
      <c r="A7" s="8" t="s">
        <v>293</v>
      </c>
      <c r="B7" s="37">
        <v>5</v>
      </c>
      <c r="C7" s="37">
        <v>10</v>
      </c>
      <c r="D7" s="37">
        <v>15</v>
      </c>
      <c r="E7" s="37" t="e">
        <f>输入参数!C33</f>
        <v>#REF!</v>
      </c>
      <c r="F7" s="37" t="e">
        <f t="shared" ref="F7:U7" si="1">E7</f>
        <v>#REF!</v>
      </c>
      <c r="G7" s="37" t="e">
        <f t="shared" si="1"/>
        <v>#REF!</v>
      </c>
      <c r="H7" s="37" t="e">
        <f t="shared" si="1"/>
        <v>#REF!</v>
      </c>
      <c r="I7" s="37" t="e">
        <f t="shared" si="1"/>
        <v>#REF!</v>
      </c>
      <c r="J7" s="37" t="e">
        <f t="shared" si="1"/>
        <v>#REF!</v>
      </c>
      <c r="K7" s="37" t="e">
        <f t="shared" si="1"/>
        <v>#REF!</v>
      </c>
      <c r="L7" s="37" t="e">
        <f t="shared" si="1"/>
        <v>#REF!</v>
      </c>
      <c r="M7" s="37" t="e">
        <f t="shared" si="1"/>
        <v>#REF!</v>
      </c>
      <c r="N7" s="37" t="e">
        <f t="shared" si="1"/>
        <v>#REF!</v>
      </c>
      <c r="O7" s="37" t="e">
        <f t="shared" si="1"/>
        <v>#REF!</v>
      </c>
      <c r="P7" s="37" t="e">
        <f t="shared" si="1"/>
        <v>#REF!</v>
      </c>
      <c r="Q7" s="37" t="e">
        <f t="shared" si="1"/>
        <v>#REF!</v>
      </c>
      <c r="R7" s="37" t="e">
        <f t="shared" si="1"/>
        <v>#REF!</v>
      </c>
      <c r="S7" s="37" t="e">
        <f t="shared" si="1"/>
        <v>#REF!</v>
      </c>
      <c r="T7" s="37" t="e">
        <f t="shared" si="1"/>
        <v>#REF!</v>
      </c>
      <c r="U7" s="37" t="e">
        <f t="shared" si="1"/>
        <v>#REF!</v>
      </c>
    </row>
    <row r="8" spans="1:22" ht="13">
      <c r="A8" s="8" t="s">
        <v>446</v>
      </c>
      <c r="B8" s="35">
        <v>1</v>
      </c>
      <c r="C8" s="35">
        <f>B8</f>
        <v>1</v>
      </c>
      <c r="D8" s="35">
        <f t="shared" ref="D8:U8" si="2">C8</f>
        <v>1</v>
      </c>
      <c r="E8" s="35">
        <f t="shared" si="2"/>
        <v>1</v>
      </c>
      <c r="F8" s="35">
        <f t="shared" si="2"/>
        <v>1</v>
      </c>
      <c r="G8" s="35">
        <f t="shared" si="2"/>
        <v>1</v>
      </c>
      <c r="H8" s="35">
        <f t="shared" si="2"/>
        <v>1</v>
      </c>
      <c r="I8" s="35">
        <f t="shared" si="2"/>
        <v>1</v>
      </c>
      <c r="J8" s="35">
        <f t="shared" si="2"/>
        <v>1</v>
      </c>
      <c r="K8" s="35">
        <f t="shared" si="2"/>
        <v>1</v>
      </c>
      <c r="L8" s="35">
        <f t="shared" si="2"/>
        <v>1</v>
      </c>
      <c r="M8" s="35">
        <f t="shared" si="2"/>
        <v>1</v>
      </c>
      <c r="N8" s="35">
        <f t="shared" si="2"/>
        <v>1</v>
      </c>
      <c r="O8" s="35">
        <f t="shared" si="2"/>
        <v>1</v>
      </c>
      <c r="P8" s="35">
        <f t="shared" si="2"/>
        <v>1</v>
      </c>
      <c r="Q8" s="35">
        <f t="shared" si="2"/>
        <v>1</v>
      </c>
      <c r="R8" s="35">
        <f t="shared" si="2"/>
        <v>1</v>
      </c>
      <c r="S8" s="35">
        <f t="shared" si="2"/>
        <v>1</v>
      </c>
      <c r="T8" s="35">
        <f t="shared" si="2"/>
        <v>1</v>
      </c>
      <c r="U8" s="35">
        <f t="shared" si="2"/>
        <v>1</v>
      </c>
    </row>
    <row r="9" spans="1:22" ht="13">
      <c r="A9" s="8" t="s">
        <v>515</v>
      </c>
      <c r="B9" s="35" t="e">
        <f>B6*B7</f>
        <v>#REF!</v>
      </c>
      <c r="C9" s="35" t="e">
        <f t="shared" ref="C9:U9" si="3">C6*C7</f>
        <v>#REF!</v>
      </c>
      <c r="D9" s="35" t="e">
        <f t="shared" si="3"/>
        <v>#REF!</v>
      </c>
      <c r="E9" s="35" t="e">
        <f t="shared" si="3"/>
        <v>#REF!</v>
      </c>
      <c r="F9" s="35" t="e">
        <f t="shared" si="3"/>
        <v>#REF!</v>
      </c>
      <c r="G9" s="35" t="e">
        <f t="shared" si="3"/>
        <v>#REF!</v>
      </c>
      <c r="H9" s="35" t="e">
        <f t="shared" si="3"/>
        <v>#REF!</v>
      </c>
      <c r="I9" s="35" t="e">
        <f t="shared" si="3"/>
        <v>#REF!</v>
      </c>
      <c r="J9" s="35" t="e">
        <f t="shared" si="3"/>
        <v>#REF!</v>
      </c>
      <c r="K9" s="35" t="e">
        <f t="shared" si="3"/>
        <v>#REF!</v>
      </c>
      <c r="L9" s="35" t="e">
        <f t="shared" si="3"/>
        <v>#REF!</v>
      </c>
      <c r="M9" s="35" t="e">
        <f t="shared" si="3"/>
        <v>#REF!</v>
      </c>
      <c r="N9" s="35" t="e">
        <f t="shared" si="3"/>
        <v>#REF!</v>
      </c>
      <c r="O9" s="35" t="e">
        <f t="shared" si="3"/>
        <v>#REF!</v>
      </c>
      <c r="P9" s="35" t="e">
        <f t="shared" si="3"/>
        <v>#REF!</v>
      </c>
      <c r="Q9" s="35" t="e">
        <f t="shared" si="3"/>
        <v>#REF!</v>
      </c>
      <c r="R9" s="35" t="e">
        <f t="shared" si="3"/>
        <v>#REF!</v>
      </c>
      <c r="S9" s="35" t="e">
        <f t="shared" si="3"/>
        <v>#REF!</v>
      </c>
      <c r="T9" s="35" t="e">
        <f t="shared" si="3"/>
        <v>#REF!</v>
      </c>
      <c r="U9" s="35" t="e">
        <f t="shared" si="3"/>
        <v>#REF!</v>
      </c>
    </row>
    <row r="10" spans="1:22" ht="13">
      <c r="A10" s="110"/>
      <c r="B10" s="111"/>
      <c r="C10" s="111"/>
      <c r="D10" s="112"/>
      <c r="E10" s="112"/>
      <c r="F10" s="112"/>
      <c r="G10" s="112"/>
      <c r="H10" s="112"/>
      <c r="I10" s="112"/>
      <c r="J10" s="112"/>
      <c r="K10" s="112"/>
      <c r="L10" s="112"/>
      <c r="M10" s="112"/>
      <c r="N10" s="112"/>
      <c r="O10" s="112"/>
      <c r="P10" s="112"/>
      <c r="Q10" s="112"/>
      <c r="R10" s="112"/>
      <c r="S10" s="112"/>
      <c r="T10" s="112"/>
      <c r="U10" s="112"/>
    </row>
    <row r="12" spans="1:22" ht="13">
      <c r="A12" s="375" t="s">
        <v>510</v>
      </c>
      <c r="B12" s="375"/>
      <c r="C12" s="375"/>
      <c r="D12" s="375"/>
      <c r="E12" s="375"/>
      <c r="F12" s="375"/>
      <c r="G12" s="375"/>
      <c r="H12" s="375"/>
      <c r="I12" s="375"/>
      <c r="J12" s="375"/>
      <c r="K12" s="375"/>
      <c r="L12" s="375"/>
      <c r="M12" s="375"/>
      <c r="N12" s="375"/>
      <c r="O12" s="375"/>
      <c r="P12" s="375"/>
      <c r="Q12" s="375"/>
      <c r="R12" s="375"/>
      <c r="S12" s="375"/>
      <c r="T12" s="375"/>
      <c r="U12" s="375"/>
    </row>
    <row r="13" spans="1:22" ht="13">
      <c r="A13" s="9" t="s">
        <v>100</v>
      </c>
      <c r="B13" s="376" t="s">
        <v>99</v>
      </c>
      <c r="C13" s="377"/>
      <c r="D13" s="376" t="s">
        <v>59</v>
      </c>
      <c r="E13" s="378"/>
      <c r="F13" s="378"/>
      <c r="G13" s="378"/>
      <c r="H13" s="378"/>
      <c r="I13" s="378"/>
      <c r="J13" s="378"/>
      <c r="K13" s="378"/>
      <c r="L13" s="378"/>
      <c r="M13" s="378"/>
      <c r="N13" s="378"/>
      <c r="O13" s="378"/>
      <c r="P13" s="378"/>
      <c r="Q13" s="378"/>
      <c r="R13" s="378"/>
      <c r="S13" s="378"/>
      <c r="T13" s="378"/>
      <c r="U13" s="377"/>
    </row>
    <row r="14" spans="1:22" ht="13">
      <c r="A14" s="9" t="s">
        <v>98</v>
      </c>
      <c r="B14" s="9">
        <v>1</v>
      </c>
      <c r="C14" s="9">
        <v>2</v>
      </c>
      <c r="D14" s="9">
        <v>3</v>
      </c>
      <c r="E14" s="9">
        <v>4</v>
      </c>
      <c r="F14" s="9">
        <v>5</v>
      </c>
      <c r="G14" s="9">
        <v>6</v>
      </c>
      <c r="H14" s="9">
        <v>7</v>
      </c>
      <c r="I14" s="9">
        <v>8</v>
      </c>
      <c r="J14" s="9">
        <v>9</v>
      </c>
      <c r="K14" s="9">
        <v>10</v>
      </c>
      <c r="L14" s="9">
        <v>11</v>
      </c>
      <c r="M14" s="9">
        <v>12</v>
      </c>
      <c r="N14" s="9">
        <v>13</v>
      </c>
      <c r="O14" s="9">
        <v>14</v>
      </c>
      <c r="P14" s="9">
        <v>15</v>
      </c>
      <c r="Q14" s="9">
        <v>16</v>
      </c>
      <c r="R14" s="9">
        <v>17</v>
      </c>
      <c r="S14" s="9">
        <v>18</v>
      </c>
      <c r="T14" s="9">
        <v>19</v>
      </c>
      <c r="U14" s="9">
        <v>20</v>
      </c>
    </row>
    <row r="15" spans="1:22" ht="13">
      <c r="A15" s="198" t="s">
        <v>512</v>
      </c>
      <c r="B15" s="196"/>
      <c r="C15" s="196"/>
      <c r="D15" s="196"/>
      <c r="E15" s="196"/>
      <c r="F15" s="196"/>
      <c r="G15" s="196"/>
      <c r="H15" s="196"/>
      <c r="I15" s="196"/>
      <c r="J15" s="196"/>
      <c r="K15" s="196"/>
      <c r="L15" s="196"/>
      <c r="M15" s="196"/>
      <c r="N15" s="196"/>
      <c r="O15" s="196"/>
      <c r="P15" s="196"/>
      <c r="Q15" s="196"/>
      <c r="R15" s="196"/>
      <c r="S15" s="196"/>
      <c r="T15" s="196"/>
      <c r="U15" s="196"/>
    </row>
    <row r="16" spans="1:22" ht="13">
      <c r="A16" s="8" t="s">
        <v>288</v>
      </c>
      <c r="B16" s="189">
        <f>其他非银金融服务参数!$B$17*B19</f>
        <v>1457.5172413793102</v>
      </c>
      <c r="C16" s="189">
        <f>其他非银金融服务参数!$B$17*C19</f>
        <v>2915.0344827586205</v>
      </c>
      <c r="D16" s="189">
        <f>其他非银金融服务参数!$B$17*D19</f>
        <v>3643.7931034482754</v>
      </c>
      <c r="E16" s="189">
        <f>其他非银金融服务参数!$B$17*E19</f>
        <v>5101.3103448275861</v>
      </c>
      <c r="F16" s="189">
        <f>其他非银金融服务参数!$B$17*F19</f>
        <v>2186.2758620689656</v>
      </c>
      <c r="G16" s="189">
        <f>其他非银金融服务参数!$B$17*G19</f>
        <v>2186.2758620689656</v>
      </c>
      <c r="H16" s="189">
        <f>其他非银金融服务参数!$B$17*H19</f>
        <v>2186.2758620689656</v>
      </c>
      <c r="I16" s="189">
        <f>其他非银金融服务参数!$B$17*I19</f>
        <v>2186.2758620689656</v>
      </c>
      <c r="J16" s="189">
        <f>其他非银金融服务参数!$B$17*J19</f>
        <v>2186.2758620689656</v>
      </c>
      <c r="K16" s="189">
        <f>其他非银金融服务参数!$B$17*K19</f>
        <v>2186.2758620689656</v>
      </c>
      <c r="L16" s="189">
        <f>其他非银金融服务参数!$B$17*L19</f>
        <v>2186.2758620689656</v>
      </c>
      <c r="M16" s="189">
        <f>其他非银金融服务参数!$B$17*M19</f>
        <v>2186.2758620689656</v>
      </c>
      <c r="N16" s="189">
        <f>其他非银金融服务参数!$B$17*N19</f>
        <v>2186.2758620689656</v>
      </c>
      <c r="O16" s="189">
        <f>其他非银金融服务参数!$B$17*O19</f>
        <v>2186.2758620689656</v>
      </c>
      <c r="P16" s="189">
        <f>其他非银金融服务参数!$B$17*P19</f>
        <v>2186.2758620689656</v>
      </c>
      <c r="Q16" s="189">
        <f>其他非银金融服务参数!$B$17*Q19</f>
        <v>2186.2758620689656</v>
      </c>
      <c r="R16" s="189">
        <f>其他非银金融服务参数!$B$17*R19</f>
        <v>2186.2758620689656</v>
      </c>
      <c r="S16" s="189">
        <f>其他非银金融服务参数!$B$17*S19</f>
        <v>2186.2758620689656</v>
      </c>
      <c r="T16" s="189">
        <f>其他非银金融服务参数!$B$17*T19</f>
        <v>2186.2758620689656</v>
      </c>
      <c r="U16" s="189">
        <f>其他非银金融服务参数!$B$17*U19</f>
        <v>2186.2758620689656</v>
      </c>
    </row>
    <row r="17" spans="1:21" ht="13">
      <c r="A17" s="8" t="s">
        <v>289</v>
      </c>
      <c r="B17" s="8">
        <v>23</v>
      </c>
      <c r="C17" s="8">
        <f>B17</f>
        <v>23</v>
      </c>
      <c r="D17" s="8">
        <f t="shared" ref="D17:U17" si="4">C17</f>
        <v>23</v>
      </c>
      <c r="E17" s="8">
        <f t="shared" si="4"/>
        <v>23</v>
      </c>
      <c r="F17" s="8">
        <f t="shared" si="4"/>
        <v>23</v>
      </c>
      <c r="G17" s="8">
        <f t="shared" si="4"/>
        <v>23</v>
      </c>
      <c r="H17" s="8">
        <f t="shared" si="4"/>
        <v>23</v>
      </c>
      <c r="I17" s="8">
        <f t="shared" si="4"/>
        <v>23</v>
      </c>
      <c r="J17" s="8">
        <f t="shared" si="4"/>
        <v>23</v>
      </c>
      <c r="K17" s="8">
        <f t="shared" si="4"/>
        <v>23</v>
      </c>
      <c r="L17" s="8">
        <f t="shared" si="4"/>
        <v>23</v>
      </c>
      <c r="M17" s="8">
        <f t="shared" si="4"/>
        <v>23</v>
      </c>
      <c r="N17" s="8">
        <f t="shared" si="4"/>
        <v>23</v>
      </c>
      <c r="O17" s="8">
        <f t="shared" si="4"/>
        <v>23</v>
      </c>
      <c r="P17" s="8">
        <f t="shared" si="4"/>
        <v>23</v>
      </c>
      <c r="Q17" s="8">
        <f t="shared" si="4"/>
        <v>23</v>
      </c>
      <c r="R17" s="8">
        <f t="shared" si="4"/>
        <v>23</v>
      </c>
      <c r="S17" s="8">
        <f t="shared" si="4"/>
        <v>23</v>
      </c>
      <c r="T17" s="8">
        <f t="shared" si="4"/>
        <v>23</v>
      </c>
      <c r="U17" s="8">
        <f t="shared" si="4"/>
        <v>23</v>
      </c>
    </row>
    <row r="18" spans="1:21" ht="13">
      <c r="A18" s="8" t="s">
        <v>287</v>
      </c>
      <c r="B18" s="163">
        <f>其他非银金融服务参数!B20</f>
        <v>0.32640293103448276</v>
      </c>
      <c r="C18" s="163">
        <f>B18*(1+8%)</f>
        <v>0.35251516551724138</v>
      </c>
      <c r="D18" s="163">
        <f t="shared" ref="D18:U18" si="5">C18*(1+8%)</f>
        <v>0.38071637875862069</v>
      </c>
      <c r="E18" s="163">
        <f t="shared" si="5"/>
        <v>0.41117368905931034</v>
      </c>
      <c r="F18" s="163">
        <f t="shared" si="5"/>
        <v>0.44406758418405518</v>
      </c>
      <c r="G18" s="163">
        <f t="shared" si="5"/>
        <v>0.4795929909187796</v>
      </c>
      <c r="H18" s="163">
        <f t="shared" si="5"/>
        <v>0.517960430192282</v>
      </c>
      <c r="I18" s="163">
        <f t="shared" si="5"/>
        <v>0.55939726460766459</v>
      </c>
      <c r="J18" s="163">
        <f t="shared" si="5"/>
        <v>0.60414904577627782</v>
      </c>
      <c r="K18" s="163">
        <f t="shared" si="5"/>
        <v>0.65248096943838008</v>
      </c>
      <c r="L18" s="163">
        <f t="shared" si="5"/>
        <v>0.70467944699345053</v>
      </c>
      <c r="M18" s="163">
        <f t="shared" si="5"/>
        <v>0.76105380275292667</v>
      </c>
      <c r="N18" s="163">
        <f t="shared" si="5"/>
        <v>0.82193810697316083</v>
      </c>
      <c r="O18" s="163">
        <f t="shared" si="5"/>
        <v>0.8876931555310138</v>
      </c>
      <c r="P18" s="163">
        <f t="shared" si="5"/>
        <v>0.958708607973495</v>
      </c>
      <c r="Q18" s="163">
        <f t="shared" si="5"/>
        <v>1.0354052966113747</v>
      </c>
      <c r="R18" s="163">
        <f t="shared" si="5"/>
        <v>1.1182377203402847</v>
      </c>
      <c r="S18" s="163">
        <f t="shared" si="5"/>
        <v>1.2076967379675074</v>
      </c>
      <c r="T18" s="163">
        <f t="shared" si="5"/>
        <v>1.3043124770049082</v>
      </c>
      <c r="U18" s="163">
        <f t="shared" si="5"/>
        <v>1.4086574751653009</v>
      </c>
    </row>
    <row r="19" spans="1:21" ht="13">
      <c r="A19" s="8" t="s">
        <v>293</v>
      </c>
      <c r="B19" s="8">
        <v>4</v>
      </c>
      <c r="C19" s="8">
        <v>8</v>
      </c>
      <c r="D19" s="8">
        <v>10</v>
      </c>
      <c r="E19" s="8">
        <f>输入参数!C34</f>
        <v>14</v>
      </c>
      <c r="F19" s="8">
        <v>6</v>
      </c>
      <c r="G19" s="8">
        <v>6</v>
      </c>
      <c r="H19" s="8">
        <v>6</v>
      </c>
      <c r="I19" s="8">
        <v>6</v>
      </c>
      <c r="J19" s="8">
        <v>6</v>
      </c>
      <c r="K19" s="8">
        <v>6</v>
      </c>
      <c r="L19" s="8">
        <v>6</v>
      </c>
      <c r="M19" s="8">
        <v>6</v>
      </c>
      <c r="N19" s="8">
        <v>6</v>
      </c>
      <c r="O19" s="8">
        <v>6</v>
      </c>
      <c r="P19" s="8">
        <v>6</v>
      </c>
      <c r="Q19" s="8">
        <v>6</v>
      </c>
      <c r="R19" s="8">
        <v>6</v>
      </c>
      <c r="S19" s="8">
        <v>6</v>
      </c>
      <c r="T19" s="8">
        <v>6</v>
      </c>
      <c r="U19" s="8">
        <v>6</v>
      </c>
    </row>
    <row r="20" spans="1:21" ht="13">
      <c r="A20" s="8" t="s">
        <v>446</v>
      </c>
      <c r="B20" s="8">
        <v>1</v>
      </c>
      <c r="C20" s="8">
        <v>1</v>
      </c>
      <c r="D20" s="8">
        <v>1</v>
      </c>
      <c r="E20" s="8">
        <v>1</v>
      </c>
      <c r="F20" s="8">
        <v>1</v>
      </c>
      <c r="G20" s="8">
        <v>1</v>
      </c>
      <c r="H20" s="8">
        <v>1</v>
      </c>
      <c r="I20" s="8">
        <v>1</v>
      </c>
      <c r="J20" s="8">
        <v>1</v>
      </c>
      <c r="K20" s="8">
        <v>1</v>
      </c>
      <c r="L20" s="8">
        <v>1</v>
      </c>
      <c r="M20" s="8">
        <v>1</v>
      </c>
      <c r="N20" s="8">
        <v>1</v>
      </c>
      <c r="O20" s="8">
        <v>1</v>
      </c>
      <c r="P20" s="8">
        <v>1</v>
      </c>
      <c r="Q20" s="8">
        <v>1</v>
      </c>
      <c r="R20" s="8">
        <v>1</v>
      </c>
      <c r="S20" s="8">
        <v>1</v>
      </c>
      <c r="T20" s="8">
        <v>1</v>
      </c>
      <c r="U20" s="8">
        <v>1</v>
      </c>
    </row>
    <row r="21" spans="1:21" ht="13">
      <c r="A21" s="8" t="s">
        <v>515</v>
      </c>
      <c r="B21" s="163">
        <f>B18*B19</f>
        <v>1.305611724137931</v>
      </c>
      <c r="C21" s="163">
        <f t="shared" ref="C21:U21" si="6">C18*C19</f>
        <v>2.820121324137931</v>
      </c>
      <c r="D21" s="163">
        <f t="shared" si="6"/>
        <v>3.807163787586207</v>
      </c>
      <c r="E21" s="163">
        <f t="shared" si="6"/>
        <v>5.7564316468303449</v>
      </c>
      <c r="F21" s="163">
        <f t="shared" si="6"/>
        <v>2.6644055051043312</v>
      </c>
      <c r="G21" s="163">
        <f t="shared" si="6"/>
        <v>2.8775579455126774</v>
      </c>
      <c r="H21" s="163">
        <f t="shared" si="6"/>
        <v>3.107762581153692</v>
      </c>
      <c r="I21" s="163">
        <f t="shared" si="6"/>
        <v>3.3563835876459875</v>
      </c>
      <c r="J21" s="163">
        <f t="shared" si="6"/>
        <v>3.6248942746576667</v>
      </c>
      <c r="K21" s="163">
        <f t="shared" si="6"/>
        <v>3.9148858166302807</v>
      </c>
      <c r="L21" s="163">
        <f t="shared" si="6"/>
        <v>4.2280766819607027</v>
      </c>
      <c r="M21" s="163">
        <f t="shared" si="6"/>
        <v>4.5663228165175598</v>
      </c>
      <c r="N21" s="163">
        <f t="shared" si="6"/>
        <v>4.931628641838965</v>
      </c>
      <c r="O21" s="163">
        <f t="shared" si="6"/>
        <v>5.3261589331860826</v>
      </c>
      <c r="P21" s="163">
        <f t="shared" si="6"/>
        <v>5.7522516478409695</v>
      </c>
      <c r="Q21" s="163">
        <f t="shared" si="6"/>
        <v>6.2124317796682487</v>
      </c>
      <c r="R21" s="163">
        <f t="shared" si="6"/>
        <v>6.7094263220417076</v>
      </c>
      <c r="S21" s="163">
        <f t="shared" si="6"/>
        <v>7.2461804278050446</v>
      </c>
      <c r="T21" s="163">
        <f t="shared" si="6"/>
        <v>7.8258748620294494</v>
      </c>
      <c r="U21" s="163">
        <f t="shared" si="6"/>
        <v>8.451944850991806</v>
      </c>
    </row>
    <row r="22" spans="1:21" ht="13">
      <c r="A22" s="110"/>
      <c r="B22" s="200"/>
      <c r="C22" s="200"/>
      <c r="D22" s="200"/>
      <c r="E22" s="200"/>
      <c r="F22" s="200"/>
      <c r="G22" s="200"/>
      <c r="H22" s="200"/>
      <c r="I22" s="200"/>
      <c r="J22" s="200"/>
      <c r="K22" s="200"/>
      <c r="L22" s="200"/>
      <c r="M22" s="200"/>
      <c r="N22" s="200"/>
      <c r="O22" s="200"/>
      <c r="P22" s="200"/>
      <c r="Q22" s="200"/>
      <c r="R22" s="200"/>
      <c r="S22" s="200"/>
      <c r="T22" s="200"/>
      <c r="U22" s="200"/>
    </row>
    <row r="23" spans="1:21" ht="13">
      <c r="A23" s="197" t="s">
        <v>513</v>
      </c>
    </row>
    <row r="24" spans="1:21" ht="13">
      <c r="A24" s="8" t="s">
        <v>288</v>
      </c>
      <c r="B24" s="189">
        <f>其他非银金融服务参数!$C$17*B27</f>
        <v>4959.5</v>
      </c>
      <c r="C24" s="183">
        <f>B24</f>
        <v>4959.5</v>
      </c>
      <c r="D24" s="183">
        <f t="shared" ref="D24:U24" si="7">C24</f>
        <v>4959.5</v>
      </c>
      <c r="E24" s="183">
        <f t="shared" si="7"/>
        <v>4959.5</v>
      </c>
      <c r="F24" s="183">
        <f t="shared" si="7"/>
        <v>4959.5</v>
      </c>
      <c r="G24" s="183">
        <f t="shared" si="7"/>
        <v>4959.5</v>
      </c>
      <c r="H24" s="183">
        <f t="shared" si="7"/>
        <v>4959.5</v>
      </c>
      <c r="I24" s="183">
        <f t="shared" si="7"/>
        <v>4959.5</v>
      </c>
      <c r="J24" s="183">
        <f t="shared" si="7"/>
        <v>4959.5</v>
      </c>
      <c r="K24" s="183">
        <f t="shared" si="7"/>
        <v>4959.5</v>
      </c>
      <c r="L24" s="183">
        <f t="shared" si="7"/>
        <v>4959.5</v>
      </c>
      <c r="M24" s="183">
        <f t="shared" si="7"/>
        <v>4959.5</v>
      </c>
      <c r="N24" s="183">
        <f t="shared" si="7"/>
        <v>4959.5</v>
      </c>
      <c r="O24" s="183">
        <f t="shared" si="7"/>
        <v>4959.5</v>
      </c>
      <c r="P24" s="183">
        <f t="shared" si="7"/>
        <v>4959.5</v>
      </c>
      <c r="Q24" s="183">
        <f t="shared" si="7"/>
        <v>4959.5</v>
      </c>
      <c r="R24" s="183">
        <f t="shared" si="7"/>
        <v>4959.5</v>
      </c>
      <c r="S24" s="183">
        <f t="shared" si="7"/>
        <v>4959.5</v>
      </c>
      <c r="T24" s="183">
        <f t="shared" si="7"/>
        <v>4959.5</v>
      </c>
      <c r="U24" s="183">
        <f t="shared" si="7"/>
        <v>4959.5</v>
      </c>
    </row>
    <row r="25" spans="1:21" ht="13">
      <c r="A25" s="8" t="s">
        <v>289</v>
      </c>
      <c r="B25" s="8">
        <v>56</v>
      </c>
      <c r="C25" s="8">
        <f>B25</f>
        <v>56</v>
      </c>
      <c r="D25" s="8">
        <f t="shared" ref="D25:U25" si="8">C25</f>
        <v>56</v>
      </c>
      <c r="E25" s="8">
        <f t="shared" si="8"/>
        <v>56</v>
      </c>
      <c r="F25" s="8">
        <f t="shared" si="8"/>
        <v>56</v>
      </c>
      <c r="G25" s="8">
        <f t="shared" si="8"/>
        <v>56</v>
      </c>
      <c r="H25" s="8">
        <f t="shared" si="8"/>
        <v>56</v>
      </c>
      <c r="I25" s="8">
        <f t="shared" si="8"/>
        <v>56</v>
      </c>
      <c r="J25" s="8">
        <f t="shared" si="8"/>
        <v>56</v>
      </c>
      <c r="K25" s="8">
        <f t="shared" si="8"/>
        <v>56</v>
      </c>
      <c r="L25" s="8">
        <f t="shared" si="8"/>
        <v>56</v>
      </c>
      <c r="M25" s="8">
        <f t="shared" si="8"/>
        <v>56</v>
      </c>
      <c r="N25" s="8">
        <f t="shared" si="8"/>
        <v>56</v>
      </c>
      <c r="O25" s="8">
        <f t="shared" si="8"/>
        <v>56</v>
      </c>
      <c r="P25" s="8">
        <f t="shared" si="8"/>
        <v>56</v>
      </c>
      <c r="Q25" s="8">
        <f t="shared" si="8"/>
        <v>56</v>
      </c>
      <c r="R25" s="8">
        <f t="shared" si="8"/>
        <v>56</v>
      </c>
      <c r="S25" s="8">
        <f t="shared" si="8"/>
        <v>56</v>
      </c>
      <c r="T25" s="8">
        <f t="shared" si="8"/>
        <v>56</v>
      </c>
      <c r="U25" s="8">
        <f t="shared" si="8"/>
        <v>56</v>
      </c>
    </row>
    <row r="26" spans="1:21" ht="13">
      <c r="A26" s="8" t="s">
        <v>287</v>
      </c>
      <c r="B26" s="163">
        <f>其他非银金融服务参数!C20</f>
        <v>2.0130528750000001</v>
      </c>
      <c r="C26" s="163">
        <f>B26*(1+10%)</f>
        <v>2.2143581625000004</v>
      </c>
      <c r="D26" s="163">
        <f t="shared" ref="D26:U26" si="9">C26*(1+10%)</f>
        <v>2.4357939787500005</v>
      </c>
      <c r="E26" s="163">
        <f t="shared" si="9"/>
        <v>2.6793733766250005</v>
      </c>
      <c r="F26" s="163">
        <f t="shared" si="9"/>
        <v>2.947310714287501</v>
      </c>
      <c r="G26" s="163">
        <f t="shared" si="9"/>
        <v>3.2420417857162516</v>
      </c>
      <c r="H26" s="163">
        <f t="shared" si="9"/>
        <v>3.566245964287877</v>
      </c>
      <c r="I26" s="163">
        <f t="shared" si="9"/>
        <v>3.9228705607166652</v>
      </c>
      <c r="J26" s="163">
        <f t="shared" si="9"/>
        <v>4.3151576167883317</v>
      </c>
      <c r="K26" s="163">
        <f t="shared" si="9"/>
        <v>4.7466733784671655</v>
      </c>
      <c r="L26" s="163">
        <f t="shared" si="9"/>
        <v>5.2213407163138825</v>
      </c>
      <c r="M26" s="163">
        <f t="shared" si="9"/>
        <v>5.7434747879452717</v>
      </c>
      <c r="N26" s="163">
        <f t="shared" si="9"/>
        <v>6.3178222667397996</v>
      </c>
      <c r="O26" s="163">
        <f t="shared" si="9"/>
        <v>6.9496044934137799</v>
      </c>
      <c r="P26" s="163">
        <f t="shared" si="9"/>
        <v>7.6445649427551583</v>
      </c>
      <c r="Q26" s="163">
        <f t="shared" si="9"/>
        <v>8.409021437030674</v>
      </c>
      <c r="R26" s="163">
        <f t="shared" si="9"/>
        <v>9.2499235807337428</v>
      </c>
      <c r="S26" s="163">
        <f t="shared" si="9"/>
        <v>10.174915938807118</v>
      </c>
      <c r="T26" s="163">
        <f t="shared" si="9"/>
        <v>11.192407532687831</v>
      </c>
      <c r="U26" s="163">
        <f t="shared" si="9"/>
        <v>12.311648285956615</v>
      </c>
    </row>
    <row r="27" spans="1:21" ht="13">
      <c r="A27" s="8" t="s">
        <v>293</v>
      </c>
      <c r="B27" s="8">
        <v>4</v>
      </c>
      <c r="C27" s="8">
        <v>8</v>
      </c>
      <c r="D27" s="8">
        <v>10</v>
      </c>
      <c r="E27" s="8">
        <f>输入参数!C35</f>
        <v>14</v>
      </c>
      <c r="F27" s="8">
        <f t="shared" ref="F27:U27" si="10">E27</f>
        <v>14</v>
      </c>
      <c r="G27" s="8">
        <f t="shared" si="10"/>
        <v>14</v>
      </c>
      <c r="H27" s="8">
        <f t="shared" si="10"/>
        <v>14</v>
      </c>
      <c r="I27" s="8">
        <f t="shared" si="10"/>
        <v>14</v>
      </c>
      <c r="J27" s="8">
        <f t="shared" si="10"/>
        <v>14</v>
      </c>
      <c r="K27" s="8">
        <f t="shared" si="10"/>
        <v>14</v>
      </c>
      <c r="L27" s="8">
        <f t="shared" si="10"/>
        <v>14</v>
      </c>
      <c r="M27" s="8">
        <f t="shared" si="10"/>
        <v>14</v>
      </c>
      <c r="N27" s="8">
        <f t="shared" si="10"/>
        <v>14</v>
      </c>
      <c r="O27" s="8">
        <f t="shared" si="10"/>
        <v>14</v>
      </c>
      <c r="P27" s="8">
        <f t="shared" si="10"/>
        <v>14</v>
      </c>
      <c r="Q27" s="8">
        <f t="shared" si="10"/>
        <v>14</v>
      </c>
      <c r="R27" s="8">
        <f t="shared" si="10"/>
        <v>14</v>
      </c>
      <c r="S27" s="8">
        <f t="shared" si="10"/>
        <v>14</v>
      </c>
      <c r="T27" s="8">
        <f t="shared" si="10"/>
        <v>14</v>
      </c>
      <c r="U27" s="8">
        <f t="shared" si="10"/>
        <v>14</v>
      </c>
    </row>
    <row r="28" spans="1:21" ht="13">
      <c r="A28" s="8" t="s">
        <v>361</v>
      </c>
      <c r="B28" s="8">
        <v>1</v>
      </c>
      <c r="C28" s="8">
        <v>1</v>
      </c>
      <c r="D28" s="8">
        <v>1</v>
      </c>
      <c r="E28" s="8">
        <v>1</v>
      </c>
      <c r="F28" s="8">
        <v>1</v>
      </c>
      <c r="G28" s="8">
        <v>1</v>
      </c>
      <c r="H28" s="8">
        <v>1</v>
      </c>
      <c r="I28" s="8">
        <v>1</v>
      </c>
      <c r="J28" s="8">
        <v>1</v>
      </c>
      <c r="K28" s="8">
        <v>1</v>
      </c>
      <c r="L28" s="8">
        <v>1</v>
      </c>
      <c r="M28" s="8">
        <v>1</v>
      </c>
      <c r="N28" s="8">
        <v>1</v>
      </c>
      <c r="O28" s="8">
        <v>1</v>
      </c>
      <c r="P28" s="8">
        <v>1</v>
      </c>
      <c r="Q28" s="8">
        <v>1</v>
      </c>
      <c r="R28" s="8">
        <v>1</v>
      </c>
      <c r="S28" s="8">
        <v>1</v>
      </c>
      <c r="T28" s="8">
        <v>1</v>
      </c>
      <c r="U28" s="8">
        <v>1</v>
      </c>
    </row>
    <row r="29" spans="1:21" ht="13">
      <c r="A29" s="8" t="s">
        <v>515</v>
      </c>
      <c r="B29" s="163">
        <f>B26*B27</f>
        <v>8.0522115000000003</v>
      </c>
      <c r="C29" s="163">
        <f t="shared" ref="C29:U29" si="11">C26*C27</f>
        <v>17.714865300000003</v>
      </c>
      <c r="D29" s="163">
        <f t="shared" si="11"/>
        <v>24.357939787500005</v>
      </c>
      <c r="E29" s="163">
        <f t="shared" si="11"/>
        <v>37.511227272750006</v>
      </c>
      <c r="F29" s="163">
        <f t="shared" si="11"/>
        <v>41.262350000025016</v>
      </c>
      <c r="G29" s="163">
        <f t="shared" si="11"/>
        <v>45.388585000027518</v>
      </c>
      <c r="H29" s="163">
        <f t="shared" si="11"/>
        <v>49.927443500030279</v>
      </c>
      <c r="I29" s="163">
        <f t="shared" si="11"/>
        <v>54.920187850033315</v>
      </c>
      <c r="J29" s="163">
        <f t="shared" si="11"/>
        <v>60.41220663503664</v>
      </c>
      <c r="K29" s="163">
        <f t="shared" si="11"/>
        <v>66.453427298540319</v>
      </c>
      <c r="L29" s="163">
        <f t="shared" si="11"/>
        <v>73.098770028394355</v>
      </c>
      <c r="M29" s="163">
        <f t="shared" si="11"/>
        <v>80.408647031233798</v>
      </c>
      <c r="N29" s="163">
        <f t="shared" si="11"/>
        <v>88.449511734357202</v>
      </c>
      <c r="O29" s="163">
        <f t="shared" si="11"/>
        <v>97.294462907792919</v>
      </c>
      <c r="P29" s="163">
        <f t="shared" si="11"/>
        <v>107.02390919857221</v>
      </c>
      <c r="Q29" s="163">
        <f t="shared" si="11"/>
        <v>117.72630011842944</v>
      </c>
      <c r="R29" s="163">
        <f t="shared" si="11"/>
        <v>129.49893013027241</v>
      </c>
      <c r="S29" s="163">
        <f t="shared" si="11"/>
        <v>142.44882314329965</v>
      </c>
      <c r="T29" s="163">
        <f t="shared" si="11"/>
        <v>156.69370545762962</v>
      </c>
      <c r="U29" s="163">
        <f t="shared" si="11"/>
        <v>172.36307600339262</v>
      </c>
    </row>
    <row r="30" spans="1:21" ht="13">
      <c r="A30" s="110"/>
      <c r="B30" s="200"/>
      <c r="C30" s="200"/>
      <c r="D30" s="200"/>
      <c r="E30" s="200"/>
      <c r="F30" s="200"/>
      <c r="G30" s="200"/>
      <c r="H30" s="200"/>
      <c r="I30" s="200"/>
      <c r="J30" s="200"/>
      <c r="K30" s="200"/>
      <c r="L30" s="200"/>
      <c r="M30" s="200"/>
      <c r="N30" s="200"/>
      <c r="O30" s="200"/>
      <c r="P30" s="200"/>
      <c r="Q30" s="200"/>
      <c r="R30" s="200"/>
      <c r="S30" s="200"/>
      <c r="T30" s="200"/>
      <c r="U30" s="200"/>
    </row>
    <row r="31" spans="1:21" ht="13">
      <c r="A31" s="197" t="s">
        <v>514</v>
      </c>
    </row>
    <row r="32" spans="1:21" ht="13">
      <c r="A32" s="8" t="s">
        <v>288</v>
      </c>
      <c r="B32" s="188">
        <f>其他非银金融服务参数!$D$17*B35</f>
        <v>10124</v>
      </c>
      <c r="C32" s="6">
        <f>B32</f>
        <v>10124</v>
      </c>
      <c r="D32" s="6">
        <f t="shared" ref="D32:U32" si="12">C32</f>
        <v>10124</v>
      </c>
      <c r="E32" s="6">
        <f t="shared" si="12"/>
        <v>10124</v>
      </c>
      <c r="F32" s="6">
        <f t="shared" si="12"/>
        <v>10124</v>
      </c>
      <c r="G32" s="6">
        <f t="shared" si="12"/>
        <v>10124</v>
      </c>
      <c r="H32" s="6">
        <f t="shared" si="12"/>
        <v>10124</v>
      </c>
      <c r="I32" s="6">
        <f t="shared" si="12"/>
        <v>10124</v>
      </c>
      <c r="J32" s="6">
        <f t="shared" si="12"/>
        <v>10124</v>
      </c>
      <c r="K32" s="6">
        <f t="shared" si="12"/>
        <v>10124</v>
      </c>
      <c r="L32" s="6">
        <f t="shared" si="12"/>
        <v>10124</v>
      </c>
      <c r="M32" s="6">
        <f t="shared" si="12"/>
        <v>10124</v>
      </c>
      <c r="N32" s="6">
        <f t="shared" si="12"/>
        <v>10124</v>
      </c>
      <c r="O32" s="6">
        <f t="shared" si="12"/>
        <v>10124</v>
      </c>
      <c r="P32" s="6">
        <f t="shared" si="12"/>
        <v>10124</v>
      </c>
      <c r="Q32" s="6">
        <f t="shared" si="12"/>
        <v>10124</v>
      </c>
      <c r="R32" s="6">
        <f t="shared" si="12"/>
        <v>10124</v>
      </c>
      <c r="S32" s="6">
        <f t="shared" si="12"/>
        <v>10124</v>
      </c>
      <c r="T32" s="6">
        <f t="shared" si="12"/>
        <v>10124</v>
      </c>
      <c r="U32" s="6">
        <f t="shared" si="12"/>
        <v>10124</v>
      </c>
    </row>
    <row r="33" spans="1:21" ht="13">
      <c r="A33" s="8" t="s">
        <v>289</v>
      </c>
      <c r="B33" s="8">
        <v>172</v>
      </c>
      <c r="C33" s="8">
        <f>B33</f>
        <v>172</v>
      </c>
      <c r="D33" s="8">
        <f t="shared" ref="D33:U33" si="13">C33</f>
        <v>172</v>
      </c>
      <c r="E33" s="8">
        <f t="shared" si="13"/>
        <v>172</v>
      </c>
      <c r="F33" s="8">
        <f t="shared" si="13"/>
        <v>172</v>
      </c>
      <c r="G33" s="8">
        <f t="shared" si="13"/>
        <v>172</v>
      </c>
      <c r="H33" s="8">
        <f t="shared" si="13"/>
        <v>172</v>
      </c>
      <c r="I33" s="8">
        <f t="shared" si="13"/>
        <v>172</v>
      </c>
      <c r="J33" s="8">
        <f t="shared" si="13"/>
        <v>172</v>
      </c>
      <c r="K33" s="8">
        <f t="shared" si="13"/>
        <v>172</v>
      </c>
      <c r="L33" s="8">
        <f t="shared" si="13"/>
        <v>172</v>
      </c>
      <c r="M33" s="8">
        <f t="shared" si="13"/>
        <v>172</v>
      </c>
      <c r="N33" s="8">
        <f t="shared" si="13"/>
        <v>172</v>
      </c>
      <c r="O33" s="8">
        <f t="shared" si="13"/>
        <v>172</v>
      </c>
      <c r="P33" s="8">
        <f t="shared" si="13"/>
        <v>172</v>
      </c>
      <c r="Q33" s="8">
        <f t="shared" si="13"/>
        <v>172</v>
      </c>
      <c r="R33" s="8">
        <f t="shared" si="13"/>
        <v>172</v>
      </c>
      <c r="S33" s="8">
        <f t="shared" si="13"/>
        <v>172</v>
      </c>
      <c r="T33" s="8">
        <f t="shared" si="13"/>
        <v>172</v>
      </c>
      <c r="U33" s="8">
        <f t="shared" si="13"/>
        <v>172</v>
      </c>
    </row>
    <row r="34" spans="1:21" ht="13">
      <c r="A34" s="8" t="s">
        <v>287</v>
      </c>
      <c r="B34" s="163">
        <f>其他非银金融服务参数!D20</f>
        <v>15.085687031300003</v>
      </c>
      <c r="C34" s="163">
        <f>B34*(1+3%)</f>
        <v>15.538257642239003</v>
      </c>
      <c r="D34" s="163">
        <f t="shared" ref="D34:U34" si="14">C34*(1+3%)</f>
        <v>16.004405371506174</v>
      </c>
      <c r="E34" s="163">
        <f t="shared" si="14"/>
        <v>16.484537532651359</v>
      </c>
      <c r="F34" s="163">
        <f t="shared" si="14"/>
        <v>16.979073658630899</v>
      </c>
      <c r="G34" s="163">
        <f t="shared" si="14"/>
        <v>17.488445868389825</v>
      </c>
      <c r="H34" s="163">
        <f t="shared" si="14"/>
        <v>18.01309924444152</v>
      </c>
      <c r="I34" s="163">
        <f t="shared" si="14"/>
        <v>18.553492221774764</v>
      </c>
      <c r="J34" s="163">
        <f t="shared" si="14"/>
        <v>19.110096988428008</v>
      </c>
      <c r="K34" s="163">
        <f t="shared" si="14"/>
        <v>19.68339989808085</v>
      </c>
      <c r="L34" s="163">
        <f t="shared" si="14"/>
        <v>20.273901895023275</v>
      </c>
      <c r="M34" s="163">
        <f t="shared" si="14"/>
        <v>20.882118951873974</v>
      </c>
      <c r="N34" s="163">
        <f t="shared" si="14"/>
        <v>21.508582520430192</v>
      </c>
      <c r="O34" s="163">
        <f t="shared" si="14"/>
        <v>22.153839996043097</v>
      </c>
      <c r="P34" s="163">
        <f t="shared" si="14"/>
        <v>22.81845519592439</v>
      </c>
      <c r="Q34" s="163">
        <f t="shared" si="14"/>
        <v>23.503008851802122</v>
      </c>
      <c r="R34" s="163">
        <f t="shared" si="14"/>
        <v>24.208099117356184</v>
      </c>
      <c r="S34" s="163">
        <f t="shared" si="14"/>
        <v>24.934342090876871</v>
      </c>
      <c r="T34" s="163">
        <f t="shared" si="14"/>
        <v>25.682372353603178</v>
      </c>
      <c r="U34" s="163">
        <f t="shared" si="14"/>
        <v>26.452843524211275</v>
      </c>
    </row>
    <row r="35" spans="1:21" ht="13">
      <c r="A35" s="8" t="s">
        <v>293</v>
      </c>
      <c r="B35" s="8">
        <v>4</v>
      </c>
      <c r="C35" s="8">
        <v>8</v>
      </c>
      <c r="D35" s="8">
        <v>10</v>
      </c>
      <c r="E35" s="8">
        <f>输入参数!C36</f>
        <v>13</v>
      </c>
      <c r="F35" s="8">
        <f t="shared" ref="F35:U35" si="15">E35</f>
        <v>13</v>
      </c>
      <c r="G35" s="8">
        <f t="shared" si="15"/>
        <v>13</v>
      </c>
      <c r="H35" s="8">
        <f t="shared" si="15"/>
        <v>13</v>
      </c>
      <c r="I35" s="8">
        <f t="shared" si="15"/>
        <v>13</v>
      </c>
      <c r="J35" s="8">
        <f t="shared" si="15"/>
        <v>13</v>
      </c>
      <c r="K35" s="8">
        <f t="shared" si="15"/>
        <v>13</v>
      </c>
      <c r="L35" s="8">
        <f t="shared" si="15"/>
        <v>13</v>
      </c>
      <c r="M35" s="8">
        <f t="shared" si="15"/>
        <v>13</v>
      </c>
      <c r="N35" s="8">
        <f t="shared" si="15"/>
        <v>13</v>
      </c>
      <c r="O35" s="8">
        <f t="shared" si="15"/>
        <v>13</v>
      </c>
      <c r="P35" s="8">
        <f t="shared" si="15"/>
        <v>13</v>
      </c>
      <c r="Q35" s="8">
        <f t="shared" si="15"/>
        <v>13</v>
      </c>
      <c r="R35" s="8">
        <f t="shared" si="15"/>
        <v>13</v>
      </c>
      <c r="S35" s="8">
        <f t="shared" si="15"/>
        <v>13</v>
      </c>
      <c r="T35" s="8">
        <f t="shared" si="15"/>
        <v>13</v>
      </c>
      <c r="U35" s="8">
        <f t="shared" si="15"/>
        <v>13</v>
      </c>
    </row>
    <row r="36" spans="1:21" ht="13">
      <c r="A36" s="8" t="s">
        <v>361</v>
      </c>
      <c r="B36" s="8">
        <v>1</v>
      </c>
      <c r="C36" s="8">
        <v>1</v>
      </c>
      <c r="D36" s="8">
        <v>1</v>
      </c>
      <c r="E36" s="8">
        <v>1</v>
      </c>
      <c r="F36" s="8">
        <v>1</v>
      </c>
      <c r="G36" s="8">
        <v>1</v>
      </c>
      <c r="H36" s="8">
        <v>1</v>
      </c>
      <c r="I36" s="8">
        <v>1</v>
      </c>
      <c r="J36" s="8">
        <v>1</v>
      </c>
      <c r="K36" s="8">
        <v>1</v>
      </c>
      <c r="L36" s="8">
        <v>1</v>
      </c>
      <c r="M36" s="8">
        <v>1</v>
      </c>
      <c r="N36" s="8">
        <v>1</v>
      </c>
      <c r="O36" s="8">
        <v>1</v>
      </c>
      <c r="P36" s="8">
        <v>1</v>
      </c>
      <c r="Q36" s="8">
        <v>1</v>
      </c>
      <c r="R36" s="8">
        <v>1</v>
      </c>
      <c r="S36" s="8">
        <v>1</v>
      </c>
      <c r="T36" s="8">
        <v>1</v>
      </c>
      <c r="U36" s="8">
        <v>1</v>
      </c>
    </row>
    <row r="37" spans="1:21" ht="13">
      <c r="A37" s="8" t="s">
        <v>515</v>
      </c>
      <c r="B37" s="163">
        <f>B34*B35</f>
        <v>60.342748125200011</v>
      </c>
      <c r="C37" s="163">
        <f t="shared" ref="C37:U37" si="16">C34*C35</f>
        <v>124.30606113791202</v>
      </c>
      <c r="D37" s="163">
        <f t="shared" si="16"/>
        <v>160.04405371506175</v>
      </c>
      <c r="E37" s="163">
        <f t="shared" si="16"/>
        <v>214.29898792446767</v>
      </c>
      <c r="F37" s="163">
        <f t="shared" si="16"/>
        <v>220.72795756220168</v>
      </c>
      <c r="G37" s="163">
        <f t="shared" si="16"/>
        <v>227.34979628906771</v>
      </c>
      <c r="H37" s="163">
        <f t="shared" si="16"/>
        <v>234.17029017773976</v>
      </c>
      <c r="I37" s="163">
        <f t="shared" si="16"/>
        <v>241.19539888307193</v>
      </c>
      <c r="J37" s="163">
        <f t="shared" si="16"/>
        <v>248.4312608495641</v>
      </c>
      <c r="K37" s="163">
        <f t="shared" si="16"/>
        <v>255.88419867505104</v>
      </c>
      <c r="L37" s="163">
        <f t="shared" si="16"/>
        <v>263.56072463530256</v>
      </c>
      <c r="M37" s="163">
        <f t="shared" si="16"/>
        <v>271.46754637436163</v>
      </c>
      <c r="N37" s="163">
        <f t="shared" si="16"/>
        <v>279.61157276559248</v>
      </c>
      <c r="O37" s="163">
        <f t="shared" si="16"/>
        <v>287.99991994856026</v>
      </c>
      <c r="P37" s="163">
        <f t="shared" si="16"/>
        <v>296.63991754701709</v>
      </c>
      <c r="Q37" s="163">
        <f t="shared" si="16"/>
        <v>305.53911507342758</v>
      </c>
      <c r="R37" s="163">
        <f t="shared" si="16"/>
        <v>314.70528852563041</v>
      </c>
      <c r="S37" s="163">
        <f t="shared" si="16"/>
        <v>324.14644718139931</v>
      </c>
      <c r="T37" s="163">
        <f t="shared" si="16"/>
        <v>333.87084059684133</v>
      </c>
      <c r="U37" s="163">
        <f t="shared" si="16"/>
        <v>343.88696581474659</v>
      </c>
    </row>
    <row r="39" spans="1:21" ht="13">
      <c r="A39" s="197" t="s">
        <v>528</v>
      </c>
    </row>
    <row r="40" spans="1:21" ht="13">
      <c r="A40" s="8" t="s">
        <v>288</v>
      </c>
      <c r="B40" s="191">
        <f>其他非银金融服务参数!E17</f>
        <v>8619.65</v>
      </c>
      <c r="C40" s="6">
        <f>B40</f>
        <v>8619.65</v>
      </c>
      <c r="D40" s="6">
        <f t="shared" ref="D40:D41" si="17">C40</f>
        <v>8619.65</v>
      </c>
      <c r="E40" s="6">
        <f t="shared" ref="E40:E41" si="18">D40</f>
        <v>8619.65</v>
      </c>
      <c r="F40" s="6">
        <f t="shared" ref="F40:F41" si="19">E40</f>
        <v>8619.65</v>
      </c>
      <c r="G40" s="6">
        <f t="shared" ref="G40:G41" si="20">F40</f>
        <v>8619.65</v>
      </c>
      <c r="H40" s="6">
        <f t="shared" ref="H40:H41" si="21">G40</f>
        <v>8619.65</v>
      </c>
      <c r="I40" s="6">
        <f t="shared" ref="I40:I41" si="22">H40</f>
        <v>8619.65</v>
      </c>
      <c r="J40" s="6">
        <f t="shared" ref="J40:J41" si="23">I40</f>
        <v>8619.65</v>
      </c>
      <c r="K40" s="6">
        <f t="shared" ref="K40:K41" si="24">J40</f>
        <v>8619.65</v>
      </c>
      <c r="L40" s="6">
        <f t="shared" ref="L40:L41" si="25">K40</f>
        <v>8619.65</v>
      </c>
      <c r="M40" s="6">
        <f t="shared" ref="M40:M41" si="26">L40</f>
        <v>8619.65</v>
      </c>
      <c r="N40" s="6">
        <f t="shared" ref="N40:N41" si="27">M40</f>
        <v>8619.65</v>
      </c>
      <c r="O40" s="6">
        <f t="shared" ref="O40:O41" si="28">N40</f>
        <v>8619.65</v>
      </c>
      <c r="P40" s="6">
        <f t="shared" ref="P40:P41" si="29">O40</f>
        <v>8619.65</v>
      </c>
      <c r="Q40" s="6">
        <f t="shared" ref="Q40:Q41" si="30">P40</f>
        <v>8619.65</v>
      </c>
      <c r="R40" s="6">
        <f t="shared" ref="R40:R41" si="31">Q40</f>
        <v>8619.65</v>
      </c>
      <c r="S40" s="6">
        <f t="shared" ref="S40:S41" si="32">R40</f>
        <v>8619.65</v>
      </c>
      <c r="T40" s="6">
        <f t="shared" ref="T40:T41" si="33">S40</f>
        <v>8619.65</v>
      </c>
      <c r="U40" s="6">
        <f t="shared" ref="U40:U41" si="34">T40</f>
        <v>8619.65</v>
      </c>
    </row>
    <row r="41" spans="1:21" ht="13">
      <c r="A41" s="8" t="s">
        <v>289</v>
      </c>
      <c r="B41" s="8">
        <f>其他非银金融服务参数!E18</f>
        <v>725.5</v>
      </c>
      <c r="C41" s="8">
        <f>B41</f>
        <v>725.5</v>
      </c>
      <c r="D41" s="8">
        <f t="shared" si="17"/>
        <v>725.5</v>
      </c>
      <c r="E41" s="8">
        <f t="shared" si="18"/>
        <v>725.5</v>
      </c>
      <c r="F41" s="8">
        <f t="shared" si="19"/>
        <v>725.5</v>
      </c>
      <c r="G41" s="8">
        <f t="shared" si="20"/>
        <v>725.5</v>
      </c>
      <c r="H41" s="8">
        <f t="shared" si="21"/>
        <v>725.5</v>
      </c>
      <c r="I41" s="8">
        <f t="shared" si="22"/>
        <v>725.5</v>
      </c>
      <c r="J41" s="8">
        <f t="shared" si="23"/>
        <v>725.5</v>
      </c>
      <c r="K41" s="8">
        <f t="shared" si="24"/>
        <v>725.5</v>
      </c>
      <c r="L41" s="8">
        <f t="shared" si="25"/>
        <v>725.5</v>
      </c>
      <c r="M41" s="8">
        <f t="shared" si="26"/>
        <v>725.5</v>
      </c>
      <c r="N41" s="8">
        <f t="shared" si="27"/>
        <v>725.5</v>
      </c>
      <c r="O41" s="8">
        <f t="shared" si="28"/>
        <v>725.5</v>
      </c>
      <c r="P41" s="8">
        <f t="shared" si="29"/>
        <v>725.5</v>
      </c>
      <c r="Q41" s="8">
        <f t="shared" si="30"/>
        <v>725.5</v>
      </c>
      <c r="R41" s="8">
        <f t="shared" si="31"/>
        <v>725.5</v>
      </c>
      <c r="S41" s="8">
        <f t="shared" si="32"/>
        <v>725.5</v>
      </c>
      <c r="T41" s="8">
        <f t="shared" si="33"/>
        <v>725.5</v>
      </c>
      <c r="U41" s="8">
        <f t="shared" si="34"/>
        <v>725.5</v>
      </c>
    </row>
    <row r="42" spans="1:21" ht="13">
      <c r="A42" s="8" t="s">
        <v>287</v>
      </c>
      <c r="B42" s="163">
        <f>其他非银金融服务参数!E20</f>
        <v>2.224945</v>
      </c>
      <c r="C42" s="163">
        <f>B42*(1+10%)</f>
        <v>2.4474395000000002</v>
      </c>
      <c r="D42" s="163">
        <f t="shared" ref="D42:U42" si="35">C42*(1+10%)</f>
        <v>2.6921834500000004</v>
      </c>
      <c r="E42" s="163">
        <f t="shared" si="35"/>
        <v>2.9614017950000004</v>
      </c>
      <c r="F42" s="163">
        <f t="shared" si="35"/>
        <v>3.2575419745000009</v>
      </c>
      <c r="G42" s="163">
        <f t="shared" si="35"/>
        <v>3.5832961719500012</v>
      </c>
      <c r="H42" s="163">
        <f t="shared" si="35"/>
        <v>3.9416257891450015</v>
      </c>
      <c r="I42" s="163">
        <f t="shared" si="35"/>
        <v>4.335788368059502</v>
      </c>
      <c r="J42" s="163">
        <f t="shared" si="35"/>
        <v>4.7693672048654525</v>
      </c>
      <c r="K42" s="163">
        <f t="shared" si="35"/>
        <v>5.2463039253519979</v>
      </c>
      <c r="L42" s="163">
        <f t="shared" si="35"/>
        <v>5.7709343178871979</v>
      </c>
      <c r="M42" s="163">
        <f t="shared" si="35"/>
        <v>6.3480277496759179</v>
      </c>
      <c r="N42" s="163">
        <f t="shared" si="35"/>
        <v>6.9828305246435098</v>
      </c>
      <c r="O42" s="163">
        <f t="shared" si="35"/>
        <v>7.6811135771078618</v>
      </c>
      <c r="P42" s="163">
        <f t="shared" si="35"/>
        <v>8.4492249348186483</v>
      </c>
      <c r="Q42" s="163">
        <f t="shared" si="35"/>
        <v>9.2941474283005139</v>
      </c>
      <c r="R42" s="163">
        <f t="shared" si="35"/>
        <v>10.223562171130567</v>
      </c>
      <c r="S42" s="163">
        <f t="shared" si="35"/>
        <v>11.245918388243625</v>
      </c>
      <c r="T42" s="163">
        <f t="shared" si="35"/>
        <v>12.370510227067989</v>
      </c>
      <c r="U42" s="163">
        <f t="shared" si="35"/>
        <v>13.607561249774788</v>
      </c>
    </row>
    <row r="43" spans="1:21" ht="13">
      <c r="A43" s="8" t="s">
        <v>293</v>
      </c>
      <c r="B43" s="8">
        <v>2</v>
      </c>
      <c r="C43" s="8">
        <v>4</v>
      </c>
      <c r="D43" s="8">
        <v>6</v>
      </c>
      <c r="E43" s="8">
        <f>输入参数!C37</f>
        <v>8</v>
      </c>
      <c r="F43" s="8">
        <v>1</v>
      </c>
      <c r="G43" s="8">
        <v>1</v>
      </c>
      <c r="H43" s="8">
        <v>1</v>
      </c>
      <c r="I43" s="8">
        <v>1</v>
      </c>
      <c r="J43" s="8">
        <v>1</v>
      </c>
      <c r="K43" s="8">
        <v>1</v>
      </c>
      <c r="L43" s="8">
        <v>1</v>
      </c>
      <c r="M43" s="8">
        <v>1</v>
      </c>
      <c r="N43" s="8">
        <v>1</v>
      </c>
      <c r="O43" s="8">
        <v>1</v>
      </c>
      <c r="P43" s="8">
        <v>1</v>
      </c>
      <c r="Q43" s="8">
        <v>1</v>
      </c>
      <c r="R43" s="8">
        <v>1</v>
      </c>
      <c r="S43" s="8">
        <v>1</v>
      </c>
      <c r="T43" s="8">
        <v>1</v>
      </c>
      <c r="U43" s="8">
        <v>1</v>
      </c>
    </row>
    <row r="44" spans="1:21" ht="13">
      <c r="A44" s="8" t="s">
        <v>361</v>
      </c>
      <c r="B44" s="8">
        <v>1</v>
      </c>
      <c r="C44" s="8">
        <v>1</v>
      </c>
      <c r="D44" s="8">
        <v>1</v>
      </c>
      <c r="E44" s="8">
        <v>1</v>
      </c>
      <c r="F44" s="8">
        <v>1</v>
      </c>
      <c r="G44" s="8">
        <v>1</v>
      </c>
      <c r="H44" s="8">
        <v>1</v>
      </c>
      <c r="I44" s="8">
        <v>1</v>
      </c>
      <c r="J44" s="8">
        <v>1</v>
      </c>
      <c r="K44" s="8">
        <v>1</v>
      </c>
      <c r="L44" s="8">
        <v>1</v>
      </c>
      <c r="M44" s="8">
        <v>1</v>
      </c>
      <c r="N44" s="8">
        <v>1</v>
      </c>
      <c r="O44" s="8">
        <v>1</v>
      </c>
      <c r="P44" s="8">
        <v>1</v>
      </c>
      <c r="Q44" s="8">
        <v>1</v>
      </c>
      <c r="R44" s="8">
        <v>1</v>
      </c>
      <c r="S44" s="8">
        <v>1</v>
      </c>
      <c r="T44" s="8">
        <v>1</v>
      </c>
      <c r="U44" s="8">
        <v>1</v>
      </c>
    </row>
    <row r="45" spans="1:21" ht="13">
      <c r="A45" s="8" t="s">
        <v>515</v>
      </c>
      <c r="B45" s="163">
        <f>B42*B43</f>
        <v>4.4498899999999999</v>
      </c>
      <c r="C45" s="163">
        <f t="shared" ref="C45:U45" si="36">C42*C43</f>
        <v>9.7897580000000008</v>
      </c>
      <c r="D45" s="163">
        <f t="shared" si="36"/>
        <v>16.153100700000003</v>
      </c>
      <c r="E45" s="163">
        <f t="shared" si="36"/>
        <v>23.691214360000004</v>
      </c>
      <c r="F45" s="163">
        <f t="shared" si="36"/>
        <v>3.2575419745000009</v>
      </c>
      <c r="G45" s="163">
        <f t="shared" si="36"/>
        <v>3.5832961719500012</v>
      </c>
      <c r="H45" s="163">
        <f t="shared" si="36"/>
        <v>3.9416257891450015</v>
      </c>
      <c r="I45" s="163">
        <f t="shared" si="36"/>
        <v>4.335788368059502</v>
      </c>
      <c r="J45" s="163">
        <f t="shared" si="36"/>
        <v>4.7693672048654525</v>
      </c>
      <c r="K45" s="163">
        <f t="shared" si="36"/>
        <v>5.2463039253519979</v>
      </c>
      <c r="L45" s="163">
        <f t="shared" si="36"/>
        <v>5.7709343178871979</v>
      </c>
      <c r="M45" s="163">
        <f t="shared" si="36"/>
        <v>6.3480277496759179</v>
      </c>
      <c r="N45" s="163">
        <f t="shared" si="36"/>
        <v>6.9828305246435098</v>
      </c>
      <c r="O45" s="163">
        <f t="shared" si="36"/>
        <v>7.6811135771078618</v>
      </c>
      <c r="P45" s="163">
        <f t="shared" si="36"/>
        <v>8.4492249348186483</v>
      </c>
      <c r="Q45" s="163">
        <f t="shared" si="36"/>
        <v>9.2941474283005139</v>
      </c>
      <c r="R45" s="163">
        <f t="shared" si="36"/>
        <v>10.223562171130567</v>
      </c>
      <c r="S45" s="163">
        <f t="shared" si="36"/>
        <v>11.245918388243625</v>
      </c>
      <c r="T45" s="163">
        <f t="shared" si="36"/>
        <v>12.370510227067989</v>
      </c>
      <c r="U45" s="163">
        <f t="shared" si="36"/>
        <v>13.607561249774788</v>
      </c>
    </row>
  </sheetData>
  <mergeCells count="6">
    <mergeCell ref="A1:U1"/>
    <mergeCell ref="B2:C2"/>
    <mergeCell ref="D2:U2"/>
    <mergeCell ref="A12:U12"/>
    <mergeCell ref="B13:C13"/>
    <mergeCell ref="D13:U13"/>
  </mergeCells>
  <phoneticPr fontId="7" type="noConversion"/>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U123"/>
  <sheetViews>
    <sheetView topLeftCell="A7" workbookViewId="0">
      <selection activeCell="C127" sqref="C127"/>
    </sheetView>
  </sheetViews>
  <sheetFormatPr defaultRowHeight="12.5"/>
  <cols>
    <col min="1" max="1" width="28" bestFit="1" customWidth="1"/>
    <col min="2" max="21" width="11.453125" bestFit="1" customWidth="1"/>
  </cols>
  <sheetData>
    <row r="1" spans="1:21" ht="13">
      <c r="A1" s="375" t="s">
        <v>278</v>
      </c>
      <c r="B1" s="375"/>
      <c r="C1" s="375"/>
      <c r="D1" s="375"/>
      <c r="E1" s="375"/>
      <c r="F1" s="375"/>
      <c r="G1" s="375"/>
      <c r="H1" s="375"/>
      <c r="I1" s="375"/>
      <c r="J1" s="375"/>
      <c r="K1" s="375"/>
      <c r="L1" s="375"/>
      <c r="M1" s="375"/>
      <c r="N1" s="375"/>
      <c r="O1" s="375"/>
      <c r="P1" s="375"/>
      <c r="Q1" s="375"/>
      <c r="R1" s="375"/>
      <c r="S1" s="375"/>
      <c r="T1" s="375"/>
      <c r="U1" s="375"/>
    </row>
    <row r="2" spans="1:21" s="11" customFormat="1" ht="13">
      <c r="A2" s="9" t="s">
        <v>100</v>
      </c>
      <c r="B2" s="376" t="s">
        <v>99</v>
      </c>
      <c r="C2" s="377"/>
      <c r="D2" s="376" t="s">
        <v>59</v>
      </c>
      <c r="E2" s="378"/>
      <c r="F2" s="378"/>
      <c r="G2" s="378"/>
      <c r="H2" s="378"/>
      <c r="I2" s="378"/>
      <c r="J2" s="378"/>
      <c r="K2" s="378"/>
      <c r="L2" s="378"/>
      <c r="M2" s="378"/>
      <c r="N2" s="378"/>
      <c r="O2" s="378"/>
      <c r="P2" s="378"/>
      <c r="Q2" s="378"/>
      <c r="R2" s="378"/>
      <c r="S2" s="378"/>
      <c r="T2" s="378"/>
      <c r="U2" s="377"/>
    </row>
    <row r="3" spans="1:21" s="11" customFormat="1" ht="13">
      <c r="A3" s="9" t="s">
        <v>98</v>
      </c>
      <c r="B3" s="9">
        <v>1</v>
      </c>
      <c r="C3" s="9">
        <v>2</v>
      </c>
      <c r="D3" s="9">
        <v>3</v>
      </c>
      <c r="E3" s="9">
        <v>4</v>
      </c>
      <c r="F3" s="9">
        <v>5</v>
      </c>
      <c r="G3" s="9">
        <v>6</v>
      </c>
      <c r="H3" s="9">
        <v>7</v>
      </c>
      <c r="I3" s="9">
        <v>8</v>
      </c>
      <c r="J3" s="9">
        <v>9</v>
      </c>
      <c r="K3" s="9">
        <v>10</v>
      </c>
      <c r="L3" s="9">
        <v>11</v>
      </c>
      <c r="M3" s="9">
        <v>12</v>
      </c>
      <c r="N3" s="9">
        <v>13</v>
      </c>
      <c r="O3" s="9">
        <v>14</v>
      </c>
      <c r="P3" s="9">
        <v>15</v>
      </c>
      <c r="Q3" s="9">
        <v>16</v>
      </c>
      <c r="R3" s="9">
        <v>17</v>
      </c>
      <c r="S3" s="9">
        <v>18</v>
      </c>
      <c r="T3" s="9">
        <v>19</v>
      </c>
      <c r="U3" s="9">
        <v>20</v>
      </c>
    </row>
    <row r="4" spans="1:21" s="11" customFormat="1" ht="13">
      <c r="A4" s="120" t="s">
        <v>447</v>
      </c>
      <c r="B4" s="163" t="e">
        <f>营收预测!B9*城商银行参数!#REF!</f>
        <v>#REF!</v>
      </c>
      <c r="C4" s="163" t="e">
        <f>营收预测!C9*城商银行参数!#REF!</f>
        <v>#REF!</v>
      </c>
      <c r="D4" s="163" t="e">
        <f>营收预测!D9*城商银行参数!#REF!</f>
        <v>#REF!</v>
      </c>
      <c r="E4" s="163" t="e">
        <f>营收预测!E9*城商银行参数!#REF!</f>
        <v>#REF!</v>
      </c>
      <c r="F4" s="163" t="e">
        <f>营收预测!F9*城商银行参数!#REF!</f>
        <v>#REF!</v>
      </c>
      <c r="G4" s="163" t="e">
        <f>营收预测!G9*城商银行参数!#REF!</f>
        <v>#REF!</v>
      </c>
      <c r="H4" s="163" t="e">
        <f>营收预测!H9*城商银行参数!#REF!</f>
        <v>#REF!</v>
      </c>
      <c r="I4" s="163" t="e">
        <f>营收预测!I9*城商银行参数!#REF!</f>
        <v>#REF!</v>
      </c>
      <c r="J4" s="163" t="e">
        <f>营收预测!J9*城商银行参数!#REF!</f>
        <v>#REF!</v>
      </c>
      <c r="K4" s="163" t="e">
        <f>营收预测!K9*城商银行参数!#REF!</f>
        <v>#REF!</v>
      </c>
      <c r="L4" s="163" t="e">
        <f>营收预测!L9*城商银行参数!#REF!</f>
        <v>#REF!</v>
      </c>
      <c r="M4" s="163" t="e">
        <f>营收预测!M9*城商银行参数!#REF!</f>
        <v>#REF!</v>
      </c>
      <c r="N4" s="163" t="e">
        <f>营收预测!N9*城商银行参数!#REF!</f>
        <v>#REF!</v>
      </c>
      <c r="O4" s="163" t="e">
        <f>营收预测!O9*城商银行参数!#REF!</f>
        <v>#REF!</v>
      </c>
      <c r="P4" s="163" t="e">
        <f>营收预测!P9*城商银行参数!#REF!</f>
        <v>#REF!</v>
      </c>
      <c r="Q4" s="163" t="e">
        <f>营收预测!Q9*城商银行参数!#REF!</f>
        <v>#REF!</v>
      </c>
      <c r="R4" s="163" t="e">
        <f>营收预测!R9*城商银行参数!#REF!</f>
        <v>#REF!</v>
      </c>
      <c r="S4" s="163" t="e">
        <f>营收预测!S9*城商银行参数!#REF!</f>
        <v>#REF!</v>
      </c>
      <c r="T4" s="163" t="e">
        <f>营收预测!T9*城商银行参数!#REF!</f>
        <v>#REF!</v>
      </c>
      <c r="U4" s="163" t="e">
        <f>营收预测!U9*城商银行参数!#REF!</f>
        <v>#REF!</v>
      </c>
    </row>
    <row r="5" spans="1:21" s="11" customFormat="1" ht="13">
      <c r="A5" s="120" t="s">
        <v>448</v>
      </c>
      <c r="B5" s="163" t="e">
        <f>营收预测!B9*城商银行参数!#REF!</f>
        <v>#REF!</v>
      </c>
      <c r="C5" s="163" t="e">
        <f>营收预测!C9*城商银行参数!#REF!</f>
        <v>#REF!</v>
      </c>
      <c r="D5" s="163" t="e">
        <f>营收预测!D9*城商银行参数!#REF!</f>
        <v>#REF!</v>
      </c>
      <c r="E5" s="163" t="e">
        <f>营收预测!E9*城商银行参数!#REF!</f>
        <v>#REF!</v>
      </c>
      <c r="F5" s="163" t="e">
        <f>营收预测!F9*城商银行参数!#REF!</f>
        <v>#REF!</v>
      </c>
      <c r="G5" s="163" t="e">
        <f>营收预测!G9*城商银行参数!#REF!</f>
        <v>#REF!</v>
      </c>
      <c r="H5" s="163" t="e">
        <f>营收预测!H9*城商银行参数!#REF!</f>
        <v>#REF!</v>
      </c>
      <c r="I5" s="163" t="e">
        <f>营收预测!I9*城商银行参数!#REF!</f>
        <v>#REF!</v>
      </c>
      <c r="J5" s="163" t="e">
        <f>营收预测!J9*城商银行参数!#REF!</f>
        <v>#REF!</v>
      </c>
      <c r="K5" s="163" t="e">
        <f>营收预测!K9*城商银行参数!#REF!</f>
        <v>#REF!</v>
      </c>
      <c r="L5" s="163" t="e">
        <f>营收预测!L9*城商银行参数!#REF!</f>
        <v>#REF!</v>
      </c>
      <c r="M5" s="163" t="e">
        <f>营收预测!M9*城商银行参数!#REF!</f>
        <v>#REF!</v>
      </c>
      <c r="N5" s="163" t="e">
        <f>营收预测!N9*城商银行参数!#REF!</f>
        <v>#REF!</v>
      </c>
      <c r="O5" s="163" t="e">
        <f>营收预测!O9*城商银行参数!#REF!</f>
        <v>#REF!</v>
      </c>
      <c r="P5" s="163" t="e">
        <f>营收预测!P9*城商银行参数!#REF!</f>
        <v>#REF!</v>
      </c>
      <c r="Q5" s="163" t="e">
        <f>营收预测!Q9*城商银行参数!#REF!</f>
        <v>#REF!</v>
      </c>
      <c r="R5" s="163" t="e">
        <f>营收预测!R9*城商银行参数!#REF!</f>
        <v>#REF!</v>
      </c>
      <c r="S5" s="163" t="e">
        <f>营收预测!S9*城商银行参数!#REF!</f>
        <v>#REF!</v>
      </c>
      <c r="T5" s="163" t="e">
        <f>营收预测!T9*城商银行参数!#REF!</f>
        <v>#REF!</v>
      </c>
      <c r="U5" s="163" t="e">
        <f>营收预测!U9*城商银行参数!#REF!</f>
        <v>#REF!</v>
      </c>
    </row>
    <row r="6" spans="1:21" ht="13">
      <c r="A6" s="120" t="s">
        <v>449</v>
      </c>
      <c r="B6" s="8"/>
      <c r="C6" s="8"/>
      <c r="D6" s="35"/>
      <c r="E6" s="35"/>
      <c r="F6" s="35"/>
      <c r="G6" s="35"/>
      <c r="H6" s="35"/>
      <c r="I6" s="35"/>
      <c r="J6" s="35"/>
      <c r="K6" s="35"/>
      <c r="L6" s="35"/>
      <c r="M6" s="35"/>
      <c r="N6" s="35"/>
      <c r="O6" s="35"/>
      <c r="P6" s="35"/>
      <c r="Q6" s="35"/>
      <c r="R6" s="35"/>
      <c r="S6" s="35"/>
      <c r="T6" s="35"/>
      <c r="U6" s="35"/>
    </row>
    <row r="7" spans="1:21" ht="13">
      <c r="A7" s="120" t="s">
        <v>450</v>
      </c>
      <c r="B7" s="10"/>
      <c r="C7" s="10"/>
      <c r="D7" s="36"/>
      <c r="E7" s="36"/>
      <c r="F7" s="36"/>
      <c r="G7" s="36"/>
      <c r="H7" s="36"/>
      <c r="I7" s="36"/>
      <c r="J7" s="36"/>
      <c r="K7" s="36"/>
      <c r="L7" s="36"/>
      <c r="M7" s="36"/>
      <c r="N7" s="36"/>
      <c r="O7" s="36"/>
      <c r="P7" s="36"/>
      <c r="Q7" s="36"/>
      <c r="R7" s="36"/>
      <c r="S7" s="36"/>
      <c r="T7" s="36"/>
      <c r="U7" s="36"/>
    </row>
    <row r="8" spans="1:21" ht="13">
      <c r="A8" s="120" t="s">
        <v>451</v>
      </c>
      <c r="B8" s="10"/>
      <c r="C8" s="10"/>
      <c r="D8" s="35"/>
      <c r="E8" s="35"/>
      <c r="F8" s="35"/>
      <c r="G8" s="35"/>
      <c r="H8" s="35"/>
      <c r="I8" s="35"/>
      <c r="J8" s="35"/>
      <c r="K8" s="35"/>
      <c r="L8" s="35"/>
      <c r="M8" s="35"/>
      <c r="N8" s="35"/>
      <c r="O8" s="35"/>
      <c r="P8" s="35"/>
      <c r="Q8" s="35"/>
      <c r="R8" s="35"/>
      <c r="S8" s="35"/>
      <c r="T8" s="35"/>
      <c r="U8" s="35"/>
    </row>
    <row r="9" spans="1:21" ht="13">
      <c r="A9" s="120" t="s">
        <v>398</v>
      </c>
      <c r="B9" s="163" t="e">
        <f>SUM(B4:B8)</f>
        <v>#REF!</v>
      </c>
      <c r="C9" s="163" t="e">
        <f t="shared" ref="C9:U9" si="0">SUM(C4:C8)</f>
        <v>#REF!</v>
      </c>
      <c r="D9" s="163" t="e">
        <f t="shared" si="0"/>
        <v>#REF!</v>
      </c>
      <c r="E9" s="163" t="e">
        <f t="shared" si="0"/>
        <v>#REF!</v>
      </c>
      <c r="F9" s="163" t="e">
        <f t="shared" si="0"/>
        <v>#REF!</v>
      </c>
      <c r="G9" s="163" t="e">
        <f t="shared" si="0"/>
        <v>#REF!</v>
      </c>
      <c r="H9" s="163" t="e">
        <f t="shared" si="0"/>
        <v>#REF!</v>
      </c>
      <c r="I9" s="163" t="e">
        <f t="shared" si="0"/>
        <v>#REF!</v>
      </c>
      <c r="J9" s="163" t="e">
        <f t="shared" si="0"/>
        <v>#REF!</v>
      </c>
      <c r="K9" s="163" t="e">
        <f t="shared" si="0"/>
        <v>#REF!</v>
      </c>
      <c r="L9" s="163" t="e">
        <f t="shared" si="0"/>
        <v>#REF!</v>
      </c>
      <c r="M9" s="163" t="e">
        <f t="shared" si="0"/>
        <v>#REF!</v>
      </c>
      <c r="N9" s="163" t="e">
        <f t="shared" si="0"/>
        <v>#REF!</v>
      </c>
      <c r="O9" s="163" t="e">
        <f t="shared" si="0"/>
        <v>#REF!</v>
      </c>
      <c r="P9" s="163" t="e">
        <f t="shared" si="0"/>
        <v>#REF!</v>
      </c>
      <c r="Q9" s="163" t="e">
        <f t="shared" si="0"/>
        <v>#REF!</v>
      </c>
      <c r="R9" s="163" t="e">
        <f t="shared" si="0"/>
        <v>#REF!</v>
      </c>
      <c r="S9" s="163" t="e">
        <f t="shared" si="0"/>
        <v>#REF!</v>
      </c>
      <c r="T9" s="163" t="e">
        <f t="shared" si="0"/>
        <v>#REF!</v>
      </c>
      <c r="U9" s="163" t="e">
        <f t="shared" si="0"/>
        <v>#REF!</v>
      </c>
    </row>
    <row r="11" spans="1:21" ht="13">
      <c r="A11" s="375" t="s">
        <v>510</v>
      </c>
      <c r="B11" s="375"/>
      <c r="C11" s="375"/>
      <c r="D11" s="375"/>
      <c r="E11" s="375"/>
      <c r="F11" s="375"/>
      <c r="G11" s="375"/>
      <c r="H11" s="375"/>
      <c r="I11" s="375"/>
      <c r="J11" s="375"/>
      <c r="K11" s="375"/>
      <c r="L11" s="375"/>
      <c r="M11" s="375"/>
      <c r="N11" s="375"/>
      <c r="O11" s="375"/>
      <c r="P11" s="375"/>
      <c r="Q11" s="375"/>
      <c r="R11" s="375"/>
      <c r="S11" s="375"/>
      <c r="T11" s="375"/>
      <c r="U11" s="375"/>
    </row>
    <row r="12" spans="1:21" ht="13">
      <c r="A12" s="9" t="s">
        <v>100</v>
      </c>
      <c r="B12" s="376" t="s">
        <v>99</v>
      </c>
      <c r="C12" s="377"/>
      <c r="D12" s="376" t="s">
        <v>59</v>
      </c>
      <c r="E12" s="378"/>
      <c r="F12" s="378"/>
      <c r="G12" s="378"/>
      <c r="H12" s="378"/>
      <c r="I12" s="378"/>
      <c r="J12" s="378"/>
      <c r="K12" s="378"/>
      <c r="L12" s="378"/>
      <c r="M12" s="378"/>
      <c r="N12" s="378"/>
      <c r="O12" s="378"/>
      <c r="P12" s="378"/>
      <c r="Q12" s="378"/>
      <c r="R12" s="378"/>
      <c r="S12" s="378"/>
      <c r="T12" s="378"/>
      <c r="U12" s="377"/>
    </row>
    <row r="13" spans="1:21" ht="13">
      <c r="A13" s="9" t="s">
        <v>98</v>
      </c>
      <c r="B13" s="9">
        <v>1</v>
      </c>
      <c r="C13" s="9">
        <v>2</v>
      </c>
      <c r="D13" s="9">
        <v>3</v>
      </c>
      <c r="E13" s="9">
        <v>4</v>
      </c>
      <c r="F13" s="9">
        <v>5</v>
      </c>
      <c r="G13" s="9">
        <v>6</v>
      </c>
      <c r="H13" s="9">
        <v>7</v>
      </c>
      <c r="I13" s="9">
        <v>8</v>
      </c>
      <c r="J13" s="9">
        <v>9</v>
      </c>
      <c r="K13" s="9">
        <v>10</v>
      </c>
      <c r="L13" s="9">
        <v>11</v>
      </c>
      <c r="M13" s="9">
        <v>12</v>
      </c>
      <c r="N13" s="9">
        <v>13</v>
      </c>
      <c r="O13" s="9">
        <v>14</v>
      </c>
      <c r="P13" s="9">
        <v>15</v>
      </c>
      <c r="Q13" s="9">
        <v>16</v>
      </c>
      <c r="R13" s="9">
        <v>17</v>
      </c>
      <c r="S13" s="9">
        <v>18</v>
      </c>
      <c r="T13" s="9">
        <v>19</v>
      </c>
      <c r="U13" s="9">
        <v>20</v>
      </c>
    </row>
    <row r="14" spans="1:21" ht="13">
      <c r="A14" s="187" t="s">
        <v>121</v>
      </c>
      <c r="B14" s="9"/>
      <c r="C14" s="9"/>
      <c r="D14" s="9"/>
      <c r="E14" s="9"/>
      <c r="F14" s="9"/>
      <c r="G14" s="9"/>
      <c r="H14" s="9"/>
      <c r="I14" s="9"/>
      <c r="J14" s="9"/>
      <c r="K14" s="9"/>
      <c r="L14" s="9"/>
      <c r="M14" s="9"/>
      <c r="N14" s="9"/>
      <c r="O14" s="9"/>
      <c r="P14" s="9"/>
      <c r="Q14" s="9"/>
      <c r="R14" s="9"/>
      <c r="S14" s="9"/>
      <c r="T14" s="9"/>
      <c r="U14" s="9"/>
    </row>
    <row r="15" spans="1:21" ht="13">
      <c r="A15" s="120" t="s">
        <v>447</v>
      </c>
      <c r="B15" s="163">
        <f>营收预测!B21*其他非银金融服务参数!$B$31</f>
        <v>4.1877078804597699E-3</v>
      </c>
      <c r="C15" s="163">
        <f>营收预测!C21*其他非银金融服务参数!$B$31</f>
        <v>9.0454490217931043E-3</v>
      </c>
      <c r="D15" s="163">
        <f>营收预测!D21*其他非银金融服务参数!$B$31</f>
        <v>1.2211356179420691E-2</v>
      </c>
      <c r="E15" s="163">
        <f>营收预测!E21*其他非银金融服务参数!$B$31</f>
        <v>1.8463570543284083E-2</v>
      </c>
      <c r="F15" s="163">
        <f>营收预测!F21*其他非银金融服务参数!$B$31</f>
        <v>8.5459955086057762E-3</v>
      </c>
      <c r="G15" s="163">
        <f>营收预测!G21*其他非银金融服务参数!$B$31</f>
        <v>9.2296751492942381E-3</v>
      </c>
      <c r="H15" s="163">
        <f>营收预测!H21*其他非银金融服务参数!$B$31</f>
        <v>9.968049161237778E-3</v>
      </c>
      <c r="I15" s="163">
        <f>营收预测!I21*其他非银金融服务参数!$B$31</f>
        <v>1.07654930941368E-2</v>
      </c>
      <c r="J15" s="163">
        <f>营收预测!J21*其他非银金融服务参数!$B$31</f>
        <v>1.1626732541667746E-2</v>
      </c>
      <c r="K15" s="163">
        <f>营收预测!K21*其他非银金融服务参数!$B$31</f>
        <v>1.2556871145001166E-2</v>
      </c>
      <c r="L15" s="163">
        <f>营收预测!L21*其他非银金融服务参数!$B$31</f>
        <v>1.356142083660126E-2</v>
      </c>
      <c r="M15" s="163">
        <f>营收预测!M21*其他非银金融服务参数!$B$31</f>
        <v>1.4646334503529363E-2</v>
      </c>
      <c r="N15" s="163">
        <f>营收预测!N21*其他非银金融服务参数!$B$31</f>
        <v>1.5818041263811713E-2</v>
      </c>
      <c r="O15" s="163">
        <f>营收预测!O21*其他非银金融服务参数!$B$31</f>
        <v>1.7083484564916651E-2</v>
      </c>
      <c r="P15" s="163">
        <f>营收预测!P21*其他非银金融服务参数!$B$31</f>
        <v>1.8450163330109983E-2</v>
      </c>
      <c r="Q15" s="163">
        <f>营收预测!Q21*其他非银金融服务参数!$B$31</f>
        <v>1.9926176396518787E-2</v>
      </c>
      <c r="R15" s="163">
        <f>营收预测!R21*其他非银金融服务参数!$B$31</f>
        <v>2.1520270508240288E-2</v>
      </c>
      <c r="S15" s="163">
        <f>营收预测!S21*其他非银金融服务参数!$B$31</f>
        <v>2.3241892148899511E-2</v>
      </c>
      <c r="T15" s="163">
        <f>营收预测!T21*其他非银金融服务参数!$B$31</f>
        <v>2.5101243520811476E-2</v>
      </c>
      <c r="U15" s="163">
        <f>营收预测!U21*其他非银金融服务参数!$B$31</f>
        <v>2.7109343002476399E-2</v>
      </c>
    </row>
    <row r="16" spans="1:21" ht="13">
      <c r="A16" s="120" t="s">
        <v>448</v>
      </c>
      <c r="B16" s="35">
        <f>营收预测!B21*其他非银金融服务参数!$B$32</f>
        <v>1.1064577113333331</v>
      </c>
      <c r="C16" s="35">
        <f>营收预测!C21*其他非银金融服务参数!$B$32</f>
        <v>2.3899486564799997</v>
      </c>
      <c r="D16" s="35">
        <f>营收预测!D21*其他非银金融服务参数!$B$32</f>
        <v>3.2264306862479999</v>
      </c>
      <c r="E16" s="35">
        <f>营收预测!E21*其他非银金融服务参数!$B$32</f>
        <v>4.8783631976069755</v>
      </c>
      <c r="F16" s="35">
        <f>营收预测!F21*其他非银金融服务参数!$B$32</f>
        <v>2.2579852514638001</v>
      </c>
      <c r="G16" s="35">
        <f>营收预测!G21*其他非银金融服务参数!$B$32</f>
        <v>2.4386240715809042</v>
      </c>
      <c r="H16" s="35">
        <f>营收预测!H21*其他非银金融服务参数!$B$32</f>
        <v>2.6337139973073769</v>
      </c>
      <c r="I16" s="35">
        <f>营收预测!I21*其他非银金融服务参数!$B$32</f>
        <v>2.8444111170919673</v>
      </c>
      <c r="J16" s="35">
        <f>营收预测!J21*其他非银金融服务参数!$B$32</f>
        <v>3.0719640064593245</v>
      </c>
      <c r="K16" s="35">
        <f>营收预测!K21*其他非银金融服务参数!$B$32</f>
        <v>3.3177211269760711</v>
      </c>
      <c r="L16" s="35">
        <f>营收预测!L21*其他非银金融服务参数!$B$32</f>
        <v>3.5831388171341563</v>
      </c>
      <c r="M16" s="35">
        <f>营收预测!M21*其他非银金融服务参数!$B$32</f>
        <v>3.8697899225048897</v>
      </c>
      <c r="N16" s="35">
        <f>营收预测!N21*其他非银金融服务参数!$B$32</f>
        <v>4.179373116305281</v>
      </c>
      <c r="O16" s="35">
        <f>营收预测!O21*其他非银金融服务参数!$B$32</f>
        <v>4.5137229656097038</v>
      </c>
      <c r="P16" s="35">
        <f>营收预测!P21*其他非银金融服务参数!$B$32</f>
        <v>4.8748208028584807</v>
      </c>
      <c r="Q16" s="35">
        <f>营收预测!Q21*其他非银金融服务参数!$B$32</f>
        <v>5.2648064670871602</v>
      </c>
      <c r="R16" s="35">
        <f>营收预测!R21*其他非银金融服务参数!$B$32</f>
        <v>5.6859909844541328</v>
      </c>
      <c r="S16" s="35">
        <f>营收预测!S21*其他非银金融服务参数!$B$32</f>
        <v>6.1408702632104628</v>
      </c>
      <c r="T16" s="35">
        <f>营收预测!T21*其他非银金融服务参数!$B$32</f>
        <v>6.6321398842673016</v>
      </c>
      <c r="U16" s="35">
        <f>营收预测!U21*其他非银金融服务参数!$B$32</f>
        <v>7.1627110750086862</v>
      </c>
    </row>
    <row r="17" spans="1:21" ht="13">
      <c r="A17" s="120" t="s">
        <v>449</v>
      </c>
      <c r="B17" s="10"/>
      <c r="C17" s="10"/>
      <c r="D17" s="36"/>
      <c r="E17" s="36"/>
      <c r="F17" s="36"/>
      <c r="G17" s="36"/>
      <c r="H17" s="36"/>
      <c r="I17" s="36"/>
      <c r="J17" s="36"/>
      <c r="K17" s="36"/>
      <c r="L17" s="36"/>
      <c r="M17" s="36"/>
      <c r="N17" s="36"/>
      <c r="O17" s="36"/>
      <c r="P17" s="36"/>
      <c r="Q17" s="36"/>
      <c r="R17" s="36"/>
      <c r="S17" s="36"/>
      <c r="T17" s="36"/>
      <c r="U17" s="36"/>
    </row>
    <row r="18" spans="1:21" ht="13">
      <c r="A18" s="120" t="s">
        <v>450</v>
      </c>
      <c r="B18" s="10"/>
      <c r="C18" s="10"/>
      <c r="D18" s="36"/>
      <c r="E18" s="36"/>
      <c r="F18" s="36"/>
      <c r="G18" s="36"/>
      <c r="H18" s="36"/>
      <c r="I18" s="36"/>
      <c r="J18" s="36"/>
      <c r="K18" s="36"/>
      <c r="L18" s="36"/>
      <c r="M18" s="36"/>
      <c r="N18" s="36"/>
      <c r="O18" s="36"/>
      <c r="P18" s="36"/>
      <c r="Q18" s="36"/>
      <c r="R18" s="36"/>
      <c r="S18" s="36"/>
      <c r="T18" s="36"/>
      <c r="U18" s="36"/>
    </row>
    <row r="19" spans="1:21" ht="13">
      <c r="A19" s="120" t="s">
        <v>451</v>
      </c>
      <c r="B19" s="10"/>
      <c r="C19" s="10"/>
      <c r="D19" s="35"/>
      <c r="E19" s="35"/>
      <c r="F19" s="35"/>
      <c r="G19" s="35"/>
      <c r="H19" s="35"/>
      <c r="I19" s="35"/>
      <c r="J19" s="35"/>
      <c r="K19" s="35"/>
      <c r="L19" s="35"/>
      <c r="M19" s="35"/>
      <c r="N19" s="35"/>
      <c r="O19" s="35"/>
      <c r="P19" s="35"/>
      <c r="Q19" s="35"/>
      <c r="R19" s="35"/>
      <c r="S19" s="35"/>
      <c r="T19" s="35"/>
      <c r="U19" s="35"/>
    </row>
    <row r="20" spans="1:21" ht="13">
      <c r="A20" s="120" t="s">
        <v>398</v>
      </c>
      <c r="B20" s="141">
        <f>SUM(B15:B19)</f>
        <v>1.1106454192137929</v>
      </c>
      <c r="C20" s="141">
        <f t="shared" ref="C20:U20" si="1">SUM(C15:C19)</f>
        <v>2.3989941055017927</v>
      </c>
      <c r="D20" s="141">
        <f t="shared" si="1"/>
        <v>3.2386420424274207</v>
      </c>
      <c r="E20" s="141">
        <f t="shared" si="1"/>
        <v>4.8968267681502597</v>
      </c>
      <c r="F20" s="141">
        <f t="shared" si="1"/>
        <v>2.2665312469724057</v>
      </c>
      <c r="G20" s="141">
        <f t="shared" si="1"/>
        <v>2.4478537467301984</v>
      </c>
      <c r="H20" s="141">
        <f t="shared" si="1"/>
        <v>2.6436820464686148</v>
      </c>
      <c r="I20" s="141">
        <f t="shared" si="1"/>
        <v>2.855176610186104</v>
      </c>
      <c r="J20" s="141">
        <f t="shared" si="1"/>
        <v>3.0835907390009925</v>
      </c>
      <c r="K20" s="141">
        <f t="shared" si="1"/>
        <v>3.3302779981210722</v>
      </c>
      <c r="L20" s="141">
        <f t="shared" si="1"/>
        <v>3.5967002379707576</v>
      </c>
      <c r="M20" s="141">
        <f t="shared" si="1"/>
        <v>3.884436257008419</v>
      </c>
      <c r="N20" s="141">
        <f t="shared" si="1"/>
        <v>4.1951911575690923</v>
      </c>
      <c r="O20" s="141">
        <f t="shared" si="1"/>
        <v>4.5308064501746204</v>
      </c>
      <c r="P20" s="141">
        <f t="shared" si="1"/>
        <v>4.8932709661885907</v>
      </c>
      <c r="Q20" s="141">
        <f t="shared" si="1"/>
        <v>5.2847326434836788</v>
      </c>
      <c r="R20" s="141">
        <f t="shared" si="1"/>
        <v>5.7075112549623732</v>
      </c>
      <c r="S20" s="141">
        <f t="shared" si="1"/>
        <v>6.1641121553593621</v>
      </c>
      <c r="T20" s="141">
        <f t="shared" si="1"/>
        <v>6.6572411277881134</v>
      </c>
      <c r="U20" s="141">
        <f t="shared" si="1"/>
        <v>7.1898204180111627</v>
      </c>
    </row>
    <row r="22" spans="1:21" ht="13" hidden="1">
      <c r="A22" s="375" t="s">
        <v>279</v>
      </c>
      <c r="B22" s="375"/>
      <c r="C22" s="375"/>
      <c r="D22" s="375"/>
      <c r="E22" s="375"/>
      <c r="F22" s="375"/>
      <c r="G22" s="375"/>
      <c r="H22" s="375"/>
      <c r="I22" s="375"/>
      <c r="J22" s="375"/>
      <c r="K22" s="375"/>
      <c r="L22" s="375"/>
      <c r="M22" s="375"/>
      <c r="N22" s="375"/>
      <c r="O22" s="375"/>
      <c r="P22" s="375"/>
      <c r="Q22" s="375"/>
      <c r="R22" s="375"/>
      <c r="S22" s="375"/>
      <c r="T22" s="375"/>
      <c r="U22" s="375"/>
    </row>
    <row r="23" spans="1:21" ht="13" hidden="1">
      <c r="A23" s="9" t="s">
        <v>100</v>
      </c>
      <c r="B23" s="376" t="s">
        <v>99</v>
      </c>
      <c r="C23" s="377"/>
      <c r="D23" s="376" t="s">
        <v>59</v>
      </c>
      <c r="E23" s="378"/>
      <c r="F23" s="378"/>
      <c r="G23" s="378"/>
      <c r="H23" s="378"/>
      <c r="I23" s="378"/>
      <c r="J23" s="378"/>
      <c r="K23" s="378"/>
      <c r="L23" s="378"/>
      <c r="M23" s="378"/>
      <c r="N23" s="378"/>
      <c r="O23" s="378"/>
      <c r="P23" s="378"/>
      <c r="Q23" s="378"/>
      <c r="R23" s="378"/>
      <c r="S23" s="378"/>
      <c r="T23" s="378"/>
      <c r="U23" s="377"/>
    </row>
    <row r="24" spans="1:21" ht="13" hidden="1">
      <c r="A24" s="9" t="s">
        <v>98</v>
      </c>
      <c r="B24" s="9">
        <v>1</v>
      </c>
      <c r="C24" s="9">
        <v>2</v>
      </c>
      <c r="D24" s="9">
        <v>3</v>
      </c>
      <c r="E24" s="9">
        <v>4</v>
      </c>
      <c r="F24" s="9">
        <v>5</v>
      </c>
      <c r="G24" s="9">
        <v>6</v>
      </c>
      <c r="H24" s="9">
        <v>7</v>
      </c>
      <c r="I24" s="9">
        <v>8</v>
      </c>
      <c r="J24" s="9">
        <v>9</v>
      </c>
      <c r="K24" s="9">
        <v>10</v>
      </c>
      <c r="L24" s="9">
        <v>11</v>
      </c>
      <c r="M24" s="9">
        <v>12</v>
      </c>
      <c r="N24" s="9">
        <v>13</v>
      </c>
      <c r="O24" s="9">
        <v>14</v>
      </c>
      <c r="P24" s="9">
        <v>15</v>
      </c>
      <c r="Q24" s="9">
        <v>16</v>
      </c>
      <c r="R24" s="9">
        <v>17</v>
      </c>
      <c r="S24" s="9">
        <v>18</v>
      </c>
      <c r="T24" s="9">
        <v>19</v>
      </c>
      <c r="U24" s="9">
        <v>20</v>
      </c>
    </row>
    <row r="25" spans="1:21" ht="13" hidden="1">
      <c r="A25" s="8"/>
      <c r="B25" s="8"/>
      <c r="C25" s="8"/>
      <c r="D25" s="35"/>
      <c r="E25" s="35"/>
      <c r="F25" s="35"/>
      <c r="G25" s="35"/>
      <c r="H25" s="35"/>
      <c r="I25" s="35"/>
      <c r="J25" s="35"/>
      <c r="K25" s="35"/>
      <c r="L25" s="35"/>
      <c r="M25" s="35"/>
      <c r="N25" s="35"/>
      <c r="O25" s="35"/>
      <c r="P25" s="35"/>
      <c r="Q25" s="35"/>
      <c r="R25" s="35"/>
      <c r="S25" s="35"/>
      <c r="T25" s="35"/>
      <c r="U25" s="35"/>
    </row>
    <row r="26" spans="1:21" ht="13" hidden="1">
      <c r="A26" s="8"/>
      <c r="B26" s="10"/>
      <c r="C26" s="10"/>
      <c r="D26" s="36"/>
      <c r="E26" s="36"/>
      <c r="F26" s="36"/>
      <c r="G26" s="36"/>
      <c r="H26" s="36"/>
      <c r="I26" s="36"/>
      <c r="J26" s="36"/>
      <c r="K26" s="36"/>
      <c r="L26" s="36"/>
      <c r="M26" s="36"/>
      <c r="N26" s="36"/>
      <c r="O26" s="36"/>
      <c r="P26" s="36"/>
      <c r="Q26" s="36"/>
      <c r="R26" s="36"/>
      <c r="S26" s="36"/>
      <c r="T26" s="36"/>
      <c r="U26" s="36"/>
    </row>
    <row r="27" spans="1:21" ht="13" hidden="1">
      <c r="A27" s="8"/>
      <c r="B27" s="10"/>
      <c r="C27" s="10"/>
      <c r="D27" s="35"/>
      <c r="E27" s="35"/>
      <c r="F27" s="35"/>
      <c r="G27" s="35"/>
      <c r="H27" s="35"/>
      <c r="I27" s="35"/>
      <c r="J27" s="35"/>
      <c r="K27" s="35"/>
      <c r="L27" s="35"/>
      <c r="M27" s="35"/>
      <c r="N27" s="35"/>
      <c r="O27" s="35"/>
      <c r="P27" s="35"/>
      <c r="Q27" s="35"/>
      <c r="R27" s="35"/>
      <c r="S27" s="35"/>
      <c r="T27" s="35"/>
      <c r="U27" s="35"/>
    </row>
    <row r="28" spans="1:21" hidden="1"/>
    <row r="29" spans="1:21" hidden="1"/>
    <row r="30" spans="1:21" ht="13" hidden="1">
      <c r="A30" s="375" t="s">
        <v>280</v>
      </c>
      <c r="B30" s="375"/>
      <c r="C30" s="375"/>
      <c r="D30" s="375"/>
      <c r="E30" s="375"/>
      <c r="F30" s="375"/>
      <c r="G30" s="375"/>
      <c r="H30" s="375"/>
      <c r="I30" s="375"/>
      <c r="J30" s="375"/>
      <c r="K30" s="375"/>
      <c r="L30" s="375"/>
      <c r="M30" s="375"/>
      <c r="N30" s="375"/>
      <c r="O30" s="375"/>
      <c r="P30" s="375"/>
      <c r="Q30" s="375"/>
      <c r="R30" s="375"/>
      <c r="S30" s="375"/>
      <c r="T30" s="375"/>
      <c r="U30" s="375"/>
    </row>
    <row r="31" spans="1:21" ht="13" hidden="1">
      <c r="A31" s="9" t="s">
        <v>100</v>
      </c>
      <c r="B31" s="376" t="s">
        <v>99</v>
      </c>
      <c r="C31" s="377"/>
      <c r="D31" s="376" t="s">
        <v>59</v>
      </c>
      <c r="E31" s="378"/>
      <c r="F31" s="378"/>
      <c r="G31" s="378"/>
      <c r="H31" s="378"/>
      <c r="I31" s="378"/>
      <c r="J31" s="378"/>
      <c r="K31" s="378"/>
      <c r="L31" s="378"/>
      <c r="M31" s="378"/>
      <c r="N31" s="378"/>
      <c r="O31" s="378"/>
      <c r="P31" s="378"/>
      <c r="Q31" s="378"/>
      <c r="R31" s="378"/>
      <c r="S31" s="378"/>
      <c r="T31" s="378"/>
      <c r="U31" s="377"/>
    </row>
    <row r="32" spans="1:21" ht="13" hidden="1">
      <c r="A32" s="9" t="s">
        <v>98</v>
      </c>
      <c r="B32" s="9">
        <v>1</v>
      </c>
      <c r="C32" s="9">
        <v>2</v>
      </c>
      <c r="D32" s="9">
        <v>3</v>
      </c>
      <c r="E32" s="9">
        <v>4</v>
      </c>
      <c r="F32" s="9">
        <v>5</v>
      </c>
      <c r="G32" s="9">
        <v>6</v>
      </c>
      <c r="H32" s="9">
        <v>7</v>
      </c>
      <c r="I32" s="9">
        <v>8</v>
      </c>
      <c r="J32" s="9">
        <v>9</v>
      </c>
      <c r="K32" s="9">
        <v>10</v>
      </c>
      <c r="L32" s="9">
        <v>11</v>
      </c>
      <c r="M32" s="9">
        <v>12</v>
      </c>
      <c r="N32" s="9">
        <v>13</v>
      </c>
      <c r="O32" s="9">
        <v>14</v>
      </c>
      <c r="P32" s="9">
        <v>15</v>
      </c>
      <c r="Q32" s="9">
        <v>16</v>
      </c>
      <c r="R32" s="9">
        <v>17</v>
      </c>
      <c r="S32" s="9">
        <v>18</v>
      </c>
      <c r="T32" s="9">
        <v>19</v>
      </c>
      <c r="U32" s="9">
        <v>20</v>
      </c>
    </row>
    <row r="33" spans="1:21" ht="13" hidden="1">
      <c r="A33" s="8"/>
      <c r="B33" s="9"/>
      <c r="C33" s="9"/>
      <c r="D33" s="9"/>
      <c r="E33" s="9"/>
      <c r="F33" s="9"/>
      <c r="G33" s="9"/>
      <c r="H33" s="9"/>
      <c r="I33" s="9"/>
      <c r="J33" s="9"/>
      <c r="K33" s="9"/>
      <c r="L33" s="9"/>
      <c r="M33" s="9"/>
      <c r="N33" s="9"/>
      <c r="O33" s="9"/>
      <c r="P33" s="9"/>
      <c r="Q33" s="9"/>
      <c r="R33" s="9"/>
      <c r="S33" s="9"/>
      <c r="T33" s="9"/>
      <c r="U33" s="9"/>
    </row>
    <row r="34" spans="1:21" ht="13" hidden="1">
      <c r="A34" s="8"/>
      <c r="B34" s="9"/>
      <c r="C34" s="9"/>
      <c r="D34" s="9"/>
      <c r="E34" s="9"/>
      <c r="F34" s="9"/>
      <c r="G34" s="9"/>
      <c r="H34" s="9"/>
      <c r="I34" s="9"/>
      <c r="J34" s="9"/>
      <c r="K34" s="9"/>
      <c r="L34" s="9"/>
      <c r="M34" s="9"/>
      <c r="N34" s="9"/>
      <c r="O34" s="9"/>
      <c r="P34" s="9"/>
      <c r="Q34" s="9"/>
      <c r="R34" s="9"/>
      <c r="S34" s="9"/>
      <c r="T34" s="9"/>
      <c r="U34" s="9"/>
    </row>
    <row r="35" spans="1:21" ht="13" hidden="1">
      <c r="A35" s="8"/>
      <c r="B35" s="8"/>
      <c r="C35" s="8"/>
      <c r="D35" s="35"/>
      <c r="E35" s="35"/>
      <c r="F35" s="35"/>
      <c r="G35" s="35"/>
      <c r="H35" s="35"/>
      <c r="I35" s="35"/>
      <c r="J35" s="35"/>
      <c r="K35" s="35"/>
      <c r="L35" s="35"/>
      <c r="M35" s="35"/>
      <c r="N35" s="35"/>
      <c r="O35" s="35"/>
      <c r="P35" s="35"/>
      <c r="Q35" s="35"/>
      <c r="R35" s="35"/>
      <c r="S35" s="35"/>
      <c r="T35" s="35"/>
      <c r="U35" s="35"/>
    </row>
    <row r="36" spans="1:21" ht="13" hidden="1">
      <c r="A36" s="8"/>
      <c r="B36" s="10"/>
      <c r="C36" s="10"/>
      <c r="D36" s="36"/>
      <c r="E36" s="36"/>
      <c r="F36" s="36"/>
      <c r="G36" s="36"/>
      <c r="H36" s="36"/>
      <c r="I36" s="36"/>
      <c r="J36" s="36"/>
      <c r="K36" s="36"/>
      <c r="L36" s="36"/>
      <c r="M36" s="36"/>
      <c r="N36" s="36"/>
      <c r="O36" s="36"/>
      <c r="P36" s="36"/>
      <c r="Q36" s="36"/>
      <c r="R36" s="36"/>
      <c r="S36" s="36"/>
      <c r="T36" s="36"/>
      <c r="U36" s="36"/>
    </row>
    <row r="37" spans="1:21" ht="13" hidden="1">
      <c r="A37" s="8"/>
      <c r="B37" s="10"/>
      <c r="C37" s="10"/>
      <c r="D37" s="35"/>
      <c r="E37" s="35"/>
      <c r="F37" s="35"/>
      <c r="G37" s="35"/>
      <c r="H37" s="35"/>
      <c r="I37" s="35"/>
      <c r="J37" s="35"/>
      <c r="K37" s="35"/>
      <c r="L37" s="35"/>
      <c r="M37" s="35"/>
      <c r="N37" s="35"/>
      <c r="O37" s="35"/>
      <c r="P37" s="35"/>
      <c r="Q37" s="35"/>
      <c r="R37" s="35"/>
      <c r="S37" s="35"/>
      <c r="T37" s="35"/>
      <c r="U37" s="35"/>
    </row>
    <row r="38" spans="1:21" hidden="1"/>
    <row r="39" spans="1:21" hidden="1"/>
    <row r="40" spans="1:21" ht="13" hidden="1">
      <c r="A40" s="375" t="s">
        <v>281</v>
      </c>
      <c r="B40" s="375"/>
      <c r="C40" s="375"/>
      <c r="D40" s="375"/>
      <c r="E40" s="375"/>
      <c r="F40" s="375"/>
      <c r="G40" s="375"/>
      <c r="H40" s="375"/>
      <c r="I40" s="375"/>
      <c r="J40" s="375"/>
      <c r="K40" s="375"/>
      <c r="L40" s="375"/>
      <c r="M40" s="375"/>
      <c r="N40" s="375"/>
      <c r="O40" s="375"/>
      <c r="P40" s="375"/>
      <c r="Q40" s="375"/>
      <c r="R40" s="375"/>
      <c r="S40" s="375"/>
      <c r="T40" s="375"/>
      <c r="U40" s="375"/>
    </row>
    <row r="41" spans="1:21" ht="13" hidden="1">
      <c r="A41" s="9" t="s">
        <v>100</v>
      </c>
      <c r="B41" s="376" t="s">
        <v>99</v>
      </c>
      <c r="C41" s="377"/>
      <c r="D41" s="376" t="s">
        <v>59</v>
      </c>
      <c r="E41" s="378"/>
      <c r="F41" s="378"/>
      <c r="G41" s="378"/>
      <c r="H41" s="378"/>
      <c r="I41" s="378"/>
      <c r="J41" s="378"/>
      <c r="K41" s="378"/>
      <c r="L41" s="378"/>
      <c r="M41" s="378"/>
      <c r="N41" s="378"/>
      <c r="O41" s="378"/>
      <c r="P41" s="378"/>
      <c r="Q41" s="378"/>
      <c r="R41" s="378"/>
      <c r="S41" s="378"/>
      <c r="T41" s="378"/>
      <c r="U41" s="377"/>
    </row>
    <row r="42" spans="1:21" ht="13" hidden="1">
      <c r="A42" s="9" t="s">
        <v>98</v>
      </c>
      <c r="B42" s="9">
        <v>1</v>
      </c>
      <c r="C42" s="9">
        <v>2</v>
      </c>
      <c r="D42" s="9">
        <v>3</v>
      </c>
      <c r="E42" s="9">
        <v>4</v>
      </c>
      <c r="F42" s="9">
        <v>5</v>
      </c>
      <c r="G42" s="9">
        <v>6</v>
      </c>
      <c r="H42" s="9">
        <v>7</v>
      </c>
      <c r="I42" s="9">
        <v>8</v>
      </c>
      <c r="J42" s="9">
        <v>9</v>
      </c>
      <c r="K42" s="9">
        <v>10</v>
      </c>
      <c r="L42" s="9">
        <v>11</v>
      </c>
      <c r="M42" s="9">
        <v>12</v>
      </c>
      <c r="N42" s="9">
        <v>13</v>
      </c>
      <c r="O42" s="9">
        <v>14</v>
      </c>
      <c r="P42" s="9">
        <v>15</v>
      </c>
      <c r="Q42" s="9">
        <v>16</v>
      </c>
      <c r="R42" s="9">
        <v>17</v>
      </c>
      <c r="S42" s="9">
        <v>18</v>
      </c>
      <c r="T42" s="9">
        <v>19</v>
      </c>
      <c r="U42" s="9">
        <v>20</v>
      </c>
    </row>
    <row r="43" spans="1:21" ht="13" hidden="1">
      <c r="A43" s="8"/>
      <c r="B43" s="9"/>
      <c r="C43" s="9"/>
      <c r="D43" s="9"/>
      <c r="E43" s="9"/>
      <c r="F43" s="9"/>
      <c r="G43" s="9"/>
      <c r="H43" s="9"/>
      <c r="I43" s="9"/>
      <c r="J43" s="9"/>
      <c r="K43" s="9"/>
      <c r="L43" s="9"/>
      <c r="M43" s="9"/>
      <c r="N43" s="9"/>
      <c r="O43" s="9"/>
      <c r="P43" s="9"/>
      <c r="Q43" s="9"/>
      <c r="R43" s="9"/>
      <c r="S43" s="9"/>
      <c r="T43" s="9"/>
      <c r="U43" s="9"/>
    </row>
    <row r="44" spans="1:21" ht="13" hidden="1">
      <c r="A44" s="8"/>
      <c r="B44" s="9"/>
      <c r="C44" s="9"/>
      <c r="D44" s="9"/>
      <c r="E44" s="9"/>
      <c r="F44" s="9"/>
      <c r="G44" s="9"/>
      <c r="H44" s="9"/>
      <c r="I44" s="9"/>
      <c r="J44" s="9"/>
      <c r="K44" s="9"/>
      <c r="L44" s="9"/>
      <c r="M44" s="9"/>
      <c r="N44" s="9"/>
      <c r="O44" s="9"/>
      <c r="P44" s="9"/>
      <c r="Q44" s="9"/>
      <c r="R44" s="9"/>
      <c r="S44" s="9"/>
      <c r="T44" s="9"/>
      <c r="U44" s="9"/>
    </row>
    <row r="45" spans="1:21" ht="13" hidden="1">
      <c r="A45" s="8"/>
      <c r="B45" s="8"/>
      <c r="C45" s="8"/>
      <c r="D45" s="35"/>
      <c r="E45" s="35"/>
      <c r="F45" s="35"/>
      <c r="G45" s="35"/>
      <c r="H45" s="35"/>
      <c r="I45" s="35"/>
      <c r="J45" s="35"/>
      <c r="K45" s="35"/>
      <c r="L45" s="35"/>
      <c r="M45" s="35"/>
      <c r="N45" s="35"/>
      <c r="O45" s="35"/>
      <c r="P45" s="35"/>
      <c r="Q45" s="35"/>
      <c r="R45" s="35"/>
      <c r="S45" s="35"/>
      <c r="T45" s="35"/>
      <c r="U45" s="35"/>
    </row>
    <row r="46" spans="1:21" ht="13" hidden="1">
      <c r="A46" s="8"/>
      <c r="B46" s="10"/>
      <c r="C46" s="10"/>
      <c r="D46" s="36"/>
      <c r="E46" s="36"/>
      <c r="F46" s="36"/>
      <c r="G46" s="36"/>
      <c r="H46" s="36"/>
      <c r="I46" s="36"/>
      <c r="J46" s="36"/>
      <c r="K46" s="36"/>
      <c r="L46" s="36"/>
      <c r="M46" s="36"/>
      <c r="N46" s="36"/>
      <c r="O46" s="36"/>
      <c r="P46" s="36"/>
      <c r="Q46" s="36"/>
      <c r="R46" s="36"/>
      <c r="S46" s="36"/>
      <c r="T46" s="36"/>
      <c r="U46" s="36"/>
    </row>
    <row r="47" spans="1:21" ht="13" hidden="1">
      <c r="A47" s="8"/>
      <c r="B47" s="10"/>
      <c r="C47" s="10"/>
      <c r="D47" s="35"/>
      <c r="E47" s="35"/>
      <c r="F47" s="35"/>
      <c r="G47" s="35"/>
      <c r="H47" s="35"/>
      <c r="I47" s="35"/>
      <c r="J47" s="35"/>
      <c r="K47" s="35"/>
      <c r="L47" s="35"/>
      <c r="M47" s="35"/>
      <c r="N47" s="35"/>
      <c r="O47" s="35"/>
      <c r="P47" s="35"/>
      <c r="Q47" s="35"/>
      <c r="R47" s="35"/>
      <c r="S47" s="35"/>
      <c r="T47" s="35"/>
      <c r="U47" s="35"/>
    </row>
    <row r="48" spans="1:21" hidden="1"/>
    <row r="49" spans="1:21" hidden="1"/>
    <row r="50" spans="1:21" ht="13" hidden="1">
      <c r="A50" s="375" t="s">
        <v>282</v>
      </c>
      <c r="B50" s="375"/>
      <c r="C50" s="375"/>
      <c r="D50" s="375"/>
      <c r="E50" s="375"/>
      <c r="F50" s="375"/>
      <c r="G50" s="375"/>
      <c r="H50" s="375"/>
      <c r="I50" s="375"/>
      <c r="J50" s="375"/>
      <c r="K50" s="375"/>
      <c r="L50" s="375"/>
      <c r="M50" s="375"/>
      <c r="N50" s="375"/>
      <c r="O50" s="375"/>
      <c r="P50" s="375"/>
      <c r="Q50" s="375"/>
      <c r="R50" s="375"/>
      <c r="S50" s="375"/>
      <c r="T50" s="375"/>
      <c r="U50" s="375"/>
    </row>
    <row r="51" spans="1:21" ht="13" hidden="1">
      <c r="A51" s="9" t="s">
        <v>100</v>
      </c>
      <c r="B51" s="376" t="s">
        <v>99</v>
      </c>
      <c r="C51" s="377"/>
      <c r="D51" s="376" t="s">
        <v>59</v>
      </c>
      <c r="E51" s="378"/>
      <c r="F51" s="378"/>
      <c r="G51" s="378"/>
      <c r="H51" s="378"/>
      <c r="I51" s="378"/>
      <c r="J51" s="378"/>
      <c r="K51" s="378"/>
      <c r="L51" s="378"/>
      <c r="M51" s="378"/>
      <c r="N51" s="378"/>
      <c r="O51" s="378"/>
      <c r="P51" s="378"/>
      <c r="Q51" s="378"/>
      <c r="R51" s="378"/>
      <c r="S51" s="378"/>
      <c r="T51" s="378"/>
      <c r="U51" s="377"/>
    </row>
    <row r="52" spans="1:21" ht="13" hidden="1">
      <c r="A52" s="9" t="s">
        <v>98</v>
      </c>
      <c r="B52" s="9">
        <v>1</v>
      </c>
      <c r="C52" s="9">
        <v>2</v>
      </c>
      <c r="D52" s="9">
        <v>3</v>
      </c>
      <c r="E52" s="9">
        <v>4</v>
      </c>
      <c r="F52" s="9">
        <v>5</v>
      </c>
      <c r="G52" s="9">
        <v>6</v>
      </c>
      <c r="H52" s="9">
        <v>7</v>
      </c>
      <c r="I52" s="9">
        <v>8</v>
      </c>
      <c r="J52" s="9">
        <v>9</v>
      </c>
      <c r="K52" s="9">
        <v>10</v>
      </c>
      <c r="L52" s="9">
        <v>11</v>
      </c>
      <c r="M52" s="9">
        <v>12</v>
      </c>
      <c r="N52" s="9">
        <v>13</v>
      </c>
      <c r="O52" s="9">
        <v>14</v>
      </c>
      <c r="P52" s="9">
        <v>15</v>
      </c>
      <c r="Q52" s="9">
        <v>16</v>
      </c>
      <c r="R52" s="9">
        <v>17</v>
      </c>
      <c r="S52" s="9">
        <v>18</v>
      </c>
      <c r="T52" s="9">
        <v>19</v>
      </c>
      <c r="U52" s="9">
        <v>20</v>
      </c>
    </row>
    <row r="53" spans="1:21" ht="13" hidden="1">
      <c r="A53" s="8"/>
      <c r="B53" s="9"/>
      <c r="C53" s="9"/>
      <c r="D53" s="9"/>
      <c r="E53" s="9"/>
      <c r="F53" s="9"/>
      <c r="G53" s="9"/>
      <c r="H53" s="9"/>
      <c r="I53" s="9"/>
      <c r="J53" s="9"/>
      <c r="K53" s="9"/>
      <c r="L53" s="9"/>
      <c r="M53" s="9"/>
      <c r="N53" s="9"/>
      <c r="O53" s="9"/>
      <c r="P53" s="9"/>
      <c r="Q53" s="9"/>
      <c r="R53" s="9"/>
      <c r="S53" s="9"/>
      <c r="T53" s="9"/>
      <c r="U53" s="9"/>
    </row>
    <row r="54" spans="1:21" ht="13" hidden="1">
      <c r="A54" s="8"/>
      <c r="B54" s="8"/>
      <c r="C54" s="8"/>
      <c r="D54" s="35"/>
      <c r="E54" s="35"/>
      <c r="F54" s="35"/>
      <c r="G54" s="35"/>
      <c r="H54" s="35"/>
      <c r="I54" s="35"/>
      <c r="J54" s="35"/>
      <c r="K54" s="35"/>
      <c r="L54" s="35"/>
      <c r="M54" s="35"/>
      <c r="N54" s="35"/>
      <c r="O54" s="35"/>
      <c r="P54" s="35"/>
      <c r="Q54" s="35"/>
      <c r="R54" s="35"/>
      <c r="S54" s="35"/>
      <c r="T54" s="35"/>
      <c r="U54" s="35"/>
    </row>
    <row r="55" spans="1:21" ht="13" hidden="1">
      <c r="A55" s="8"/>
      <c r="B55" s="10"/>
      <c r="C55" s="10"/>
      <c r="D55" s="36"/>
      <c r="E55" s="36"/>
      <c r="F55" s="36"/>
      <c r="G55" s="36"/>
      <c r="H55" s="36"/>
      <c r="I55" s="36"/>
      <c r="J55" s="36"/>
      <c r="K55" s="36"/>
      <c r="L55" s="36"/>
      <c r="M55" s="36"/>
      <c r="N55" s="36"/>
      <c r="O55" s="36"/>
      <c r="P55" s="36"/>
      <c r="Q55" s="36"/>
      <c r="R55" s="36"/>
      <c r="S55" s="36"/>
      <c r="T55" s="36"/>
      <c r="U55" s="36"/>
    </row>
    <row r="56" spans="1:21" ht="13" hidden="1">
      <c r="A56" s="8"/>
      <c r="B56" s="10"/>
      <c r="C56" s="10"/>
      <c r="D56" s="35"/>
      <c r="E56" s="35"/>
      <c r="F56" s="35"/>
      <c r="G56" s="35"/>
      <c r="H56" s="35"/>
      <c r="I56" s="35"/>
      <c r="J56" s="35"/>
      <c r="K56" s="35"/>
      <c r="L56" s="35"/>
      <c r="M56" s="35"/>
      <c r="N56" s="35"/>
      <c r="O56" s="35"/>
      <c r="P56" s="35"/>
      <c r="Q56" s="35"/>
      <c r="R56" s="35"/>
      <c r="S56" s="35"/>
      <c r="T56" s="35"/>
      <c r="U56" s="35"/>
    </row>
    <row r="57" spans="1:21" hidden="1"/>
    <row r="58" spans="1:21" hidden="1"/>
    <row r="59" spans="1:21" ht="13" hidden="1">
      <c r="A59" s="375" t="s">
        <v>283</v>
      </c>
      <c r="B59" s="375"/>
      <c r="C59" s="375"/>
      <c r="D59" s="375"/>
      <c r="E59" s="375"/>
      <c r="F59" s="375"/>
      <c r="G59" s="375"/>
      <c r="H59" s="375"/>
      <c r="I59" s="375"/>
      <c r="J59" s="375"/>
      <c r="K59" s="375"/>
      <c r="L59" s="375"/>
      <c r="M59" s="375"/>
      <c r="N59" s="375"/>
      <c r="O59" s="375"/>
      <c r="P59" s="375"/>
      <c r="Q59" s="375"/>
      <c r="R59" s="375"/>
      <c r="S59" s="375"/>
      <c r="T59" s="375"/>
      <c r="U59" s="375"/>
    </row>
    <row r="60" spans="1:21" ht="13" hidden="1">
      <c r="A60" s="9" t="s">
        <v>100</v>
      </c>
      <c r="B60" s="376" t="s">
        <v>99</v>
      </c>
      <c r="C60" s="377"/>
      <c r="D60" s="376" t="s">
        <v>59</v>
      </c>
      <c r="E60" s="378"/>
      <c r="F60" s="378"/>
      <c r="G60" s="378"/>
      <c r="H60" s="378"/>
      <c r="I60" s="378"/>
      <c r="J60" s="378"/>
      <c r="K60" s="378"/>
      <c r="L60" s="378"/>
      <c r="M60" s="378"/>
      <c r="N60" s="378"/>
      <c r="O60" s="378"/>
      <c r="P60" s="378"/>
      <c r="Q60" s="378"/>
      <c r="R60" s="378"/>
      <c r="S60" s="378"/>
      <c r="T60" s="378"/>
      <c r="U60" s="377"/>
    </row>
    <row r="61" spans="1:21" ht="13" hidden="1">
      <c r="A61" s="9" t="s">
        <v>98</v>
      </c>
      <c r="B61" s="9">
        <v>1</v>
      </c>
      <c r="C61" s="9">
        <v>2</v>
      </c>
      <c r="D61" s="9">
        <v>3</v>
      </c>
      <c r="E61" s="9">
        <v>4</v>
      </c>
      <c r="F61" s="9">
        <v>5</v>
      </c>
      <c r="G61" s="9">
        <v>6</v>
      </c>
      <c r="H61" s="9">
        <v>7</v>
      </c>
      <c r="I61" s="9">
        <v>8</v>
      </c>
      <c r="J61" s="9">
        <v>9</v>
      </c>
      <c r="K61" s="9">
        <v>10</v>
      </c>
      <c r="L61" s="9">
        <v>11</v>
      </c>
      <c r="M61" s="9">
        <v>12</v>
      </c>
      <c r="N61" s="9">
        <v>13</v>
      </c>
      <c r="O61" s="9">
        <v>14</v>
      </c>
      <c r="P61" s="9">
        <v>15</v>
      </c>
      <c r="Q61" s="9">
        <v>16</v>
      </c>
      <c r="R61" s="9">
        <v>17</v>
      </c>
      <c r="S61" s="9">
        <v>18</v>
      </c>
      <c r="T61" s="9">
        <v>19</v>
      </c>
      <c r="U61" s="9">
        <v>20</v>
      </c>
    </row>
    <row r="62" spans="1:21" ht="13" hidden="1">
      <c r="A62" s="8"/>
      <c r="B62" s="8"/>
      <c r="C62" s="8"/>
      <c r="D62" s="35"/>
      <c r="E62" s="35"/>
      <c r="F62" s="35"/>
      <c r="G62" s="35"/>
      <c r="H62" s="35"/>
      <c r="I62" s="35"/>
      <c r="J62" s="35"/>
      <c r="K62" s="35"/>
      <c r="L62" s="35"/>
      <c r="M62" s="35"/>
      <c r="N62" s="35"/>
      <c r="O62" s="35"/>
      <c r="P62" s="35"/>
      <c r="Q62" s="35"/>
      <c r="R62" s="35"/>
      <c r="S62" s="35"/>
      <c r="T62" s="35"/>
      <c r="U62" s="35"/>
    </row>
    <row r="63" spans="1:21" ht="13" hidden="1">
      <c r="A63" s="8"/>
      <c r="B63" s="10"/>
      <c r="C63" s="10"/>
      <c r="D63" s="36"/>
      <c r="E63" s="36"/>
      <c r="F63" s="36"/>
      <c r="G63" s="36"/>
      <c r="H63" s="36"/>
      <c r="I63" s="36"/>
      <c r="J63" s="36"/>
      <c r="K63" s="36"/>
      <c r="L63" s="36"/>
      <c r="M63" s="36"/>
      <c r="N63" s="36"/>
      <c r="O63" s="36"/>
      <c r="P63" s="36"/>
      <c r="Q63" s="36"/>
      <c r="R63" s="36"/>
      <c r="S63" s="36"/>
      <c r="T63" s="36"/>
      <c r="U63" s="36"/>
    </row>
    <row r="64" spans="1:21" ht="13" hidden="1">
      <c r="A64" s="8"/>
      <c r="B64" s="10"/>
      <c r="C64" s="10"/>
      <c r="D64" s="37"/>
      <c r="E64" s="37"/>
      <c r="F64" s="37"/>
      <c r="G64" s="37"/>
      <c r="H64" s="37"/>
      <c r="I64" s="37"/>
      <c r="J64" s="37"/>
      <c r="K64" s="37"/>
      <c r="L64" s="37"/>
      <c r="M64" s="37"/>
      <c r="N64" s="37"/>
      <c r="O64" s="37"/>
      <c r="P64" s="37"/>
      <c r="Q64" s="37"/>
      <c r="R64" s="37"/>
      <c r="S64" s="37"/>
      <c r="T64" s="37"/>
      <c r="U64" s="37"/>
    </row>
    <row r="65" spans="1:21" hidden="1"/>
    <row r="66" spans="1:21" hidden="1"/>
    <row r="67" spans="1:21" ht="13" hidden="1">
      <c r="A67" s="375" t="s">
        <v>284</v>
      </c>
      <c r="B67" s="375"/>
      <c r="C67" s="375"/>
      <c r="D67" s="375"/>
      <c r="E67" s="375"/>
      <c r="F67" s="375"/>
      <c r="G67" s="375"/>
      <c r="H67" s="375"/>
      <c r="I67" s="375"/>
      <c r="J67" s="375"/>
      <c r="K67" s="375"/>
      <c r="L67" s="375"/>
      <c r="M67" s="375"/>
      <c r="N67" s="375"/>
      <c r="O67" s="375"/>
      <c r="P67" s="375"/>
      <c r="Q67" s="375"/>
      <c r="R67" s="375"/>
      <c r="S67" s="375"/>
      <c r="T67" s="375"/>
      <c r="U67" s="375"/>
    </row>
    <row r="68" spans="1:21" ht="13" hidden="1">
      <c r="A68" s="9" t="s">
        <v>100</v>
      </c>
      <c r="B68" s="376" t="s">
        <v>99</v>
      </c>
      <c r="C68" s="377"/>
      <c r="D68" s="376" t="s">
        <v>59</v>
      </c>
      <c r="E68" s="378"/>
      <c r="F68" s="378"/>
      <c r="G68" s="378"/>
      <c r="H68" s="378"/>
      <c r="I68" s="378"/>
      <c r="J68" s="378"/>
      <c r="K68" s="378"/>
      <c r="L68" s="378"/>
      <c r="M68" s="378"/>
      <c r="N68" s="378"/>
      <c r="O68" s="378"/>
      <c r="P68" s="378"/>
      <c r="Q68" s="378"/>
      <c r="R68" s="378"/>
      <c r="S68" s="378"/>
      <c r="T68" s="378"/>
      <c r="U68" s="377"/>
    </row>
    <row r="69" spans="1:21" ht="13" hidden="1">
      <c r="A69" s="9" t="s">
        <v>98</v>
      </c>
      <c r="B69" s="9">
        <v>1</v>
      </c>
      <c r="C69" s="9">
        <v>2</v>
      </c>
      <c r="D69" s="9">
        <v>3</v>
      </c>
      <c r="E69" s="9">
        <v>4</v>
      </c>
      <c r="F69" s="9">
        <v>5</v>
      </c>
      <c r="G69" s="9">
        <v>6</v>
      </c>
      <c r="H69" s="9">
        <v>7</v>
      </c>
      <c r="I69" s="9">
        <v>8</v>
      </c>
      <c r="J69" s="9">
        <v>9</v>
      </c>
      <c r="K69" s="9">
        <v>10</v>
      </c>
      <c r="L69" s="9">
        <v>11</v>
      </c>
      <c r="M69" s="9">
        <v>12</v>
      </c>
      <c r="N69" s="9">
        <v>13</v>
      </c>
      <c r="O69" s="9">
        <v>14</v>
      </c>
      <c r="P69" s="9">
        <v>15</v>
      </c>
      <c r="Q69" s="9">
        <v>16</v>
      </c>
      <c r="R69" s="9">
        <v>17</v>
      </c>
      <c r="S69" s="9">
        <v>18</v>
      </c>
      <c r="T69" s="9">
        <v>19</v>
      </c>
      <c r="U69" s="9">
        <v>20</v>
      </c>
    </row>
    <row r="70" spans="1:21" ht="13" hidden="1">
      <c r="A70" s="8"/>
      <c r="B70" s="8"/>
      <c r="C70" s="8"/>
      <c r="D70" s="35"/>
      <c r="E70" s="35"/>
      <c r="F70" s="35"/>
      <c r="G70" s="35"/>
      <c r="H70" s="35"/>
      <c r="I70" s="35"/>
      <c r="J70" s="35"/>
      <c r="K70" s="35"/>
      <c r="L70" s="35"/>
      <c r="M70" s="35"/>
      <c r="N70" s="35"/>
      <c r="O70" s="35"/>
      <c r="P70" s="35"/>
      <c r="Q70" s="35"/>
      <c r="R70" s="35"/>
      <c r="S70" s="35"/>
      <c r="T70" s="35"/>
      <c r="U70" s="35"/>
    </row>
    <row r="71" spans="1:21" ht="13" hidden="1">
      <c r="A71" s="8"/>
      <c r="B71" s="10"/>
      <c r="C71" s="10"/>
      <c r="D71" s="36"/>
      <c r="E71" s="36"/>
      <c r="F71" s="36"/>
      <c r="G71" s="36"/>
      <c r="H71" s="36"/>
      <c r="I71" s="36"/>
      <c r="J71" s="36"/>
      <c r="K71" s="36"/>
      <c r="L71" s="36"/>
      <c r="M71" s="36"/>
      <c r="N71" s="36"/>
      <c r="O71" s="36"/>
      <c r="P71" s="36"/>
      <c r="Q71" s="36"/>
      <c r="R71" s="36"/>
      <c r="S71" s="36"/>
      <c r="T71" s="36"/>
      <c r="U71" s="36"/>
    </row>
    <row r="72" spans="1:21" ht="13" hidden="1">
      <c r="A72" s="8"/>
      <c r="B72" s="10"/>
      <c r="C72" s="10"/>
      <c r="D72" s="35"/>
      <c r="E72" s="35"/>
      <c r="F72" s="35"/>
      <c r="G72" s="35"/>
      <c r="H72" s="35"/>
      <c r="I72" s="35"/>
      <c r="J72" s="35"/>
      <c r="K72" s="35"/>
      <c r="L72" s="35"/>
      <c r="M72" s="35"/>
      <c r="N72" s="35"/>
      <c r="O72" s="35"/>
      <c r="P72" s="35"/>
      <c r="Q72" s="35"/>
      <c r="R72" s="35"/>
      <c r="S72" s="35"/>
      <c r="T72" s="35"/>
      <c r="U72" s="35"/>
    </row>
    <row r="73" spans="1:21" hidden="1"/>
    <row r="74" spans="1:21" hidden="1"/>
    <row r="75" spans="1:21" ht="13" hidden="1">
      <c r="A75" s="375" t="s">
        <v>285</v>
      </c>
      <c r="B75" s="375"/>
      <c r="C75" s="375"/>
      <c r="D75" s="375"/>
      <c r="E75" s="375"/>
      <c r="F75" s="375"/>
      <c r="G75" s="375"/>
      <c r="H75" s="375"/>
      <c r="I75" s="375"/>
      <c r="J75" s="375"/>
      <c r="K75" s="375"/>
      <c r="L75" s="375"/>
      <c r="M75" s="375"/>
      <c r="N75" s="375"/>
      <c r="O75" s="375"/>
      <c r="P75" s="375"/>
      <c r="Q75" s="375"/>
      <c r="R75" s="375"/>
      <c r="S75" s="375"/>
      <c r="T75" s="375"/>
      <c r="U75" s="375"/>
    </row>
    <row r="76" spans="1:21" ht="13" hidden="1">
      <c r="A76" s="9" t="s">
        <v>100</v>
      </c>
      <c r="B76" s="376" t="s">
        <v>99</v>
      </c>
      <c r="C76" s="377"/>
      <c r="D76" s="376" t="s">
        <v>59</v>
      </c>
      <c r="E76" s="378"/>
      <c r="F76" s="378"/>
      <c r="G76" s="378"/>
      <c r="H76" s="378"/>
      <c r="I76" s="378"/>
      <c r="J76" s="378"/>
      <c r="K76" s="378"/>
      <c r="L76" s="378"/>
      <c r="M76" s="378"/>
      <c r="N76" s="378"/>
      <c r="O76" s="378"/>
      <c r="P76" s="378"/>
      <c r="Q76" s="378"/>
      <c r="R76" s="378"/>
      <c r="S76" s="378"/>
      <c r="T76" s="378"/>
      <c r="U76" s="377"/>
    </row>
    <row r="77" spans="1:21" ht="13" hidden="1">
      <c r="A77" s="9" t="s">
        <v>98</v>
      </c>
      <c r="B77" s="9">
        <v>1</v>
      </c>
      <c r="C77" s="9">
        <v>2</v>
      </c>
      <c r="D77" s="9">
        <v>3</v>
      </c>
      <c r="E77" s="9">
        <v>4</v>
      </c>
      <c r="F77" s="9">
        <v>5</v>
      </c>
      <c r="G77" s="9">
        <v>6</v>
      </c>
      <c r="H77" s="9">
        <v>7</v>
      </c>
      <c r="I77" s="9">
        <v>8</v>
      </c>
      <c r="J77" s="9">
        <v>9</v>
      </c>
      <c r="K77" s="9">
        <v>10</v>
      </c>
      <c r="L77" s="9">
        <v>11</v>
      </c>
      <c r="M77" s="9">
        <v>12</v>
      </c>
      <c r="N77" s="9">
        <v>13</v>
      </c>
      <c r="O77" s="9">
        <v>14</v>
      </c>
      <c r="P77" s="9">
        <v>15</v>
      </c>
      <c r="Q77" s="9">
        <v>16</v>
      </c>
      <c r="R77" s="9">
        <v>17</v>
      </c>
      <c r="S77" s="9">
        <v>18</v>
      </c>
      <c r="T77" s="9">
        <v>19</v>
      </c>
      <c r="U77" s="9">
        <v>20</v>
      </c>
    </row>
    <row r="78" spans="1:21" ht="13" hidden="1">
      <c r="A78" s="8"/>
      <c r="B78" s="8"/>
      <c r="C78" s="8"/>
      <c r="D78" s="35"/>
      <c r="E78" s="35"/>
      <c r="F78" s="35"/>
      <c r="G78" s="35"/>
      <c r="H78" s="35"/>
      <c r="I78" s="35"/>
      <c r="J78" s="35"/>
      <c r="K78" s="35"/>
      <c r="L78" s="35"/>
      <c r="M78" s="35"/>
      <c r="N78" s="35"/>
      <c r="O78" s="35"/>
      <c r="P78" s="35"/>
      <c r="Q78" s="35"/>
      <c r="R78" s="35"/>
      <c r="S78" s="35"/>
      <c r="T78" s="35"/>
      <c r="U78" s="35"/>
    </row>
    <row r="79" spans="1:21" ht="13" hidden="1">
      <c r="A79" s="8"/>
      <c r="B79" s="8"/>
      <c r="C79" s="8"/>
      <c r="D79" s="36"/>
      <c r="E79" s="36"/>
      <c r="F79" s="36"/>
      <c r="G79" s="36"/>
      <c r="H79" s="36"/>
      <c r="I79" s="36"/>
      <c r="J79" s="36"/>
      <c r="K79" s="36"/>
      <c r="L79" s="36"/>
      <c r="M79" s="36"/>
      <c r="N79" s="36"/>
      <c r="O79" s="36"/>
      <c r="P79" s="36"/>
      <c r="Q79" s="36"/>
      <c r="R79" s="36"/>
      <c r="S79" s="36"/>
      <c r="T79" s="36"/>
      <c r="U79" s="36"/>
    </row>
    <row r="80" spans="1:21" ht="13" hidden="1">
      <c r="A80" s="8"/>
      <c r="B80" s="10"/>
      <c r="C80" s="10"/>
      <c r="D80" s="35"/>
      <c r="E80" s="35"/>
      <c r="F80" s="35"/>
      <c r="G80" s="35"/>
      <c r="H80" s="35"/>
      <c r="I80" s="35"/>
      <c r="J80" s="35"/>
      <c r="K80" s="35"/>
      <c r="L80" s="35"/>
      <c r="M80" s="35"/>
      <c r="N80" s="35"/>
      <c r="O80" s="35"/>
      <c r="P80" s="35"/>
      <c r="Q80" s="35"/>
      <c r="R80" s="35"/>
      <c r="S80" s="35"/>
      <c r="T80" s="35"/>
      <c r="U80" s="35"/>
    </row>
    <row r="81" spans="1:21" hidden="1"/>
    <row r="82" spans="1:21" hidden="1"/>
    <row r="83" spans="1:21" ht="13" hidden="1">
      <c r="A83" s="375" t="s">
        <v>286</v>
      </c>
      <c r="B83" s="375"/>
      <c r="C83" s="375"/>
      <c r="D83" s="375"/>
      <c r="E83" s="375"/>
      <c r="F83" s="375"/>
      <c r="G83" s="375"/>
      <c r="H83" s="375"/>
      <c r="I83" s="375"/>
      <c r="J83" s="375"/>
      <c r="K83" s="375"/>
      <c r="L83" s="375"/>
      <c r="M83" s="375"/>
      <c r="N83" s="375"/>
      <c r="O83" s="375"/>
      <c r="P83" s="375"/>
      <c r="Q83" s="375"/>
      <c r="R83" s="375"/>
      <c r="S83" s="375"/>
      <c r="T83" s="375"/>
      <c r="U83" s="375"/>
    </row>
    <row r="84" spans="1:21" ht="13" hidden="1">
      <c r="A84" s="9" t="s">
        <v>100</v>
      </c>
      <c r="B84" s="376" t="s">
        <v>99</v>
      </c>
      <c r="C84" s="377"/>
      <c r="D84" s="376" t="s">
        <v>59</v>
      </c>
      <c r="E84" s="378"/>
      <c r="F84" s="378"/>
      <c r="G84" s="378"/>
      <c r="H84" s="378"/>
      <c r="I84" s="378"/>
      <c r="J84" s="378"/>
      <c r="K84" s="378"/>
      <c r="L84" s="378"/>
      <c r="M84" s="378"/>
      <c r="N84" s="378"/>
      <c r="O84" s="378"/>
      <c r="P84" s="378"/>
      <c r="Q84" s="378"/>
      <c r="R84" s="378"/>
      <c r="S84" s="378"/>
      <c r="T84" s="378"/>
      <c r="U84" s="377"/>
    </row>
    <row r="85" spans="1:21" ht="13" hidden="1">
      <c r="A85" s="9" t="s">
        <v>98</v>
      </c>
      <c r="B85" s="9">
        <v>1</v>
      </c>
      <c r="C85" s="9">
        <v>2</v>
      </c>
      <c r="D85" s="9">
        <v>3</v>
      </c>
      <c r="E85" s="9">
        <v>4</v>
      </c>
      <c r="F85" s="9">
        <v>5</v>
      </c>
      <c r="G85" s="9">
        <v>6</v>
      </c>
      <c r="H85" s="9">
        <v>7</v>
      </c>
      <c r="I85" s="9">
        <v>8</v>
      </c>
      <c r="J85" s="9">
        <v>9</v>
      </c>
      <c r="K85" s="9">
        <v>10</v>
      </c>
      <c r="L85" s="9">
        <v>11</v>
      </c>
      <c r="M85" s="9">
        <v>12</v>
      </c>
      <c r="N85" s="9">
        <v>13</v>
      </c>
      <c r="O85" s="9">
        <v>14</v>
      </c>
      <c r="P85" s="9">
        <v>15</v>
      </c>
      <c r="Q85" s="9">
        <v>16</v>
      </c>
      <c r="R85" s="9">
        <v>17</v>
      </c>
      <c r="S85" s="9">
        <v>18</v>
      </c>
      <c r="T85" s="9">
        <v>19</v>
      </c>
      <c r="U85" s="9">
        <v>20</v>
      </c>
    </row>
    <row r="86" spans="1:21" ht="13" hidden="1">
      <c r="A86" s="8"/>
      <c r="B86" s="8"/>
      <c r="C86" s="8"/>
      <c r="D86" s="35"/>
      <c r="E86" s="35"/>
      <c r="F86" s="35"/>
      <c r="G86" s="35"/>
      <c r="H86" s="35"/>
      <c r="I86" s="35"/>
      <c r="J86" s="35"/>
      <c r="K86" s="35"/>
      <c r="L86" s="35"/>
      <c r="M86" s="35"/>
      <c r="N86" s="35"/>
      <c r="O86" s="35"/>
      <c r="P86" s="35"/>
      <c r="Q86" s="35"/>
      <c r="R86" s="35"/>
      <c r="S86" s="35"/>
      <c r="T86" s="35"/>
      <c r="U86" s="35"/>
    </row>
    <row r="87" spans="1:21" ht="13" hidden="1">
      <c r="A87" s="8"/>
      <c r="B87" s="8"/>
      <c r="C87" s="8"/>
      <c r="D87" s="36"/>
      <c r="E87" s="36"/>
      <c r="F87" s="36"/>
      <c r="G87" s="36"/>
      <c r="H87" s="36"/>
      <c r="I87" s="36"/>
      <c r="J87" s="36"/>
      <c r="K87" s="36"/>
      <c r="L87" s="36"/>
      <c r="M87" s="36"/>
      <c r="N87" s="36"/>
      <c r="O87" s="36"/>
      <c r="P87" s="36"/>
      <c r="Q87" s="36"/>
      <c r="R87" s="36"/>
      <c r="S87" s="36"/>
      <c r="T87" s="36"/>
      <c r="U87" s="36"/>
    </row>
    <row r="88" spans="1:21" ht="13" hidden="1">
      <c r="A88" s="8"/>
      <c r="B88" s="10"/>
      <c r="C88" s="10"/>
      <c r="D88" s="35"/>
      <c r="E88" s="35"/>
      <c r="F88" s="35"/>
      <c r="G88" s="35"/>
      <c r="H88" s="35"/>
      <c r="I88" s="35"/>
      <c r="J88" s="35"/>
      <c r="K88" s="35"/>
      <c r="L88" s="35"/>
      <c r="M88" s="35"/>
      <c r="N88" s="35"/>
      <c r="O88" s="35"/>
      <c r="P88" s="35"/>
      <c r="Q88" s="35"/>
      <c r="R88" s="35"/>
      <c r="S88" s="35"/>
      <c r="T88" s="35"/>
      <c r="U88" s="35"/>
    </row>
    <row r="89" spans="1:21" hidden="1"/>
    <row r="90" spans="1:21" hidden="1"/>
    <row r="91" spans="1:21" ht="13" hidden="1">
      <c r="A91" s="375" t="s">
        <v>292</v>
      </c>
      <c r="B91" s="375"/>
      <c r="C91" s="375"/>
      <c r="D91" s="375"/>
      <c r="E91" s="375"/>
      <c r="F91" s="375"/>
      <c r="G91" s="375"/>
      <c r="H91" s="375"/>
      <c r="I91" s="375"/>
      <c r="J91" s="375"/>
      <c r="K91" s="375"/>
      <c r="L91" s="375"/>
      <c r="M91" s="375"/>
      <c r="N91" s="375"/>
      <c r="O91" s="375"/>
      <c r="P91" s="375"/>
      <c r="Q91" s="375"/>
      <c r="R91" s="375"/>
      <c r="S91" s="375"/>
      <c r="T91" s="375"/>
      <c r="U91" s="375"/>
    </row>
    <row r="92" spans="1:21" ht="13" hidden="1">
      <c r="A92" s="9" t="s">
        <v>100</v>
      </c>
      <c r="B92" s="376" t="s">
        <v>99</v>
      </c>
      <c r="C92" s="377"/>
      <c r="D92" s="376" t="s">
        <v>59</v>
      </c>
      <c r="E92" s="378"/>
      <c r="F92" s="378"/>
      <c r="G92" s="378"/>
      <c r="H92" s="378"/>
      <c r="I92" s="378"/>
      <c r="J92" s="378"/>
      <c r="K92" s="378"/>
      <c r="L92" s="378"/>
      <c r="M92" s="378"/>
      <c r="N92" s="378"/>
      <c r="O92" s="378"/>
      <c r="P92" s="378"/>
      <c r="Q92" s="378"/>
      <c r="R92" s="378"/>
      <c r="S92" s="378"/>
      <c r="T92" s="378"/>
      <c r="U92" s="377"/>
    </row>
    <row r="93" spans="1:21" ht="13" hidden="1">
      <c r="A93" s="9" t="s">
        <v>98</v>
      </c>
      <c r="B93" s="9">
        <v>1</v>
      </c>
      <c r="C93" s="9">
        <v>2</v>
      </c>
      <c r="D93" s="9">
        <v>3</v>
      </c>
      <c r="E93" s="9">
        <v>4</v>
      </c>
      <c r="F93" s="9">
        <v>5</v>
      </c>
      <c r="G93" s="9">
        <v>6</v>
      </c>
      <c r="H93" s="9">
        <v>7</v>
      </c>
      <c r="I93" s="9">
        <v>8</v>
      </c>
      <c r="J93" s="9">
        <v>9</v>
      </c>
      <c r="K93" s="9">
        <v>10</v>
      </c>
      <c r="L93" s="9">
        <v>11</v>
      </c>
      <c r="M93" s="9">
        <v>12</v>
      </c>
      <c r="N93" s="9">
        <v>13</v>
      </c>
      <c r="O93" s="9">
        <v>14</v>
      </c>
      <c r="P93" s="9">
        <v>15</v>
      </c>
      <c r="Q93" s="9">
        <v>16</v>
      </c>
      <c r="R93" s="9">
        <v>17</v>
      </c>
      <c r="S93" s="9">
        <v>18</v>
      </c>
      <c r="T93" s="9">
        <v>19</v>
      </c>
      <c r="U93" s="9">
        <v>20</v>
      </c>
    </row>
    <row r="94" spans="1:21" ht="13" hidden="1">
      <c r="A94" s="8"/>
      <c r="B94" s="8"/>
      <c r="C94" s="8"/>
      <c r="D94" s="35"/>
      <c r="E94" s="35"/>
      <c r="F94" s="35"/>
      <c r="G94" s="35"/>
      <c r="H94" s="35"/>
      <c r="I94" s="35"/>
      <c r="J94" s="35"/>
      <c r="K94" s="35"/>
      <c r="L94" s="35"/>
      <c r="M94" s="35"/>
      <c r="N94" s="35"/>
      <c r="O94" s="35"/>
      <c r="P94" s="35"/>
      <c r="Q94" s="35"/>
      <c r="R94" s="35"/>
      <c r="S94" s="35"/>
      <c r="T94" s="35"/>
      <c r="U94" s="35"/>
    </row>
    <row r="95" spans="1:21" ht="13" hidden="1">
      <c r="A95" s="8"/>
      <c r="B95" s="8"/>
      <c r="C95" s="8"/>
      <c r="D95" s="36"/>
      <c r="E95" s="36"/>
      <c r="F95" s="36"/>
      <c r="G95" s="36"/>
      <c r="H95" s="36"/>
      <c r="I95" s="36"/>
      <c r="J95" s="36"/>
      <c r="K95" s="36"/>
      <c r="L95" s="36"/>
      <c r="M95" s="36"/>
      <c r="N95" s="36"/>
      <c r="O95" s="36"/>
      <c r="P95" s="36"/>
      <c r="Q95" s="36"/>
      <c r="R95" s="36"/>
      <c r="S95" s="36"/>
      <c r="T95" s="36"/>
      <c r="U95" s="36"/>
    </row>
    <row r="96" spans="1:21" ht="13" hidden="1">
      <c r="A96" s="8"/>
      <c r="B96" s="10"/>
      <c r="C96" s="10"/>
      <c r="D96" s="35"/>
      <c r="E96" s="35"/>
      <c r="F96" s="35"/>
      <c r="G96" s="35"/>
      <c r="H96" s="35"/>
      <c r="I96" s="35"/>
      <c r="J96" s="35"/>
      <c r="K96" s="35"/>
      <c r="L96" s="35"/>
      <c r="M96" s="35"/>
      <c r="N96" s="35"/>
      <c r="O96" s="35"/>
      <c r="P96" s="35"/>
      <c r="Q96" s="35"/>
      <c r="R96" s="35"/>
      <c r="S96" s="35"/>
      <c r="T96" s="35"/>
      <c r="U96" s="35"/>
    </row>
    <row r="97" spans="1:21" hidden="1"/>
    <row r="98" spans="1:21" ht="13">
      <c r="A98" s="197" t="s">
        <v>513</v>
      </c>
    </row>
    <row r="99" spans="1:21" ht="13">
      <c r="A99" s="9" t="s">
        <v>98</v>
      </c>
      <c r="B99" s="9">
        <v>1</v>
      </c>
      <c r="C99" s="9">
        <v>2</v>
      </c>
      <c r="D99" s="9">
        <v>3</v>
      </c>
      <c r="E99" s="9">
        <v>4</v>
      </c>
      <c r="F99" s="9">
        <v>5</v>
      </c>
      <c r="G99" s="9">
        <v>6</v>
      </c>
      <c r="H99" s="9">
        <v>7</v>
      </c>
      <c r="I99" s="9">
        <v>8</v>
      </c>
      <c r="J99" s="9">
        <v>9</v>
      </c>
      <c r="K99" s="9">
        <v>10</v>
      </c>
      <c r="L99" s="9">
        <v>11</v>
      </c>
      <c r="M99" s="9">
        <v>12</v>
      </c>
      <c r="N99" s="9">
        <v>13</v>
      </c>
      <c r="O99" s="9">
        <v>14</v>
      </c>
      <c r="P99" s="9">
        <v>15</v>
      </c>
      <c r="Q99" s="9">
        <v>16</v>
      </c>
      <c r="R99" s="9">
        <v>17</v>
      </c>
      <c r="S99" s="9">
        <v>18</v>
      </c>
      <c r="T99" s="9">
        <v>19</v>
      </c>
      <c r="U99" s="9">
        <v>20</v>
      </c>
    </row>
    <row r="100" spans="1:21" ht="13">
      <c r="A100" s="187" t="s">
        <v>251</v>
      </c>
      <c r="B100" s="35">
        <f>营收预测!B29*其他非银金融服务参数!$C$31</f>
        <v>0.31221344250000005</v>
      </c>
      <c r="C100" s="35">
        <f>营收预测!C29*其他非银金融服务参数!$C$31</f>
        <v>0.68686957350000022</v>
      </c>
      <c r="D100" s="35">
        <f>营收预测!D29*其他非银金融服务参数!$C$31</f>
        <v>0.94444566356250026</v>
      </c>
      <c r="E100" s="35">
        <f>营收预测!E29*其他非银金融服务参数!$C$31</f>
        <v>1.4544463218862502</v>
      </c>
      <c r="F100" s="35">
        <f>营收预测!F29*其他非银金融服务参数!$C$31</f>
        <v>1.5998909540748758</v>
      </c>
      <c r="G100" s="35">
        <f>营收预测!G29*其他非银金融服务参数!$C$31</f>
        <v>1.7598800494823634</v>
      </c>
      <c r="H100" s="35">
        <f>营收预测!H29*其他非银金融服务参数!$C$31</f>
        <v>1.9358680544305999</v>
      </c>
      <c r="I100" s="35">
        <f>营收预测!I29*其他非银金融服务参数!$C$31</f>
        <v>2.1294548598736602</v>
      </c>
      <c r="J100" s="35">
        <f>营收预测!J29*其他非银金融服务参数!$C$31</f>
        <v>2.3424003458610261</v>
      </c>
      <c r="K100" s="35">
        <f>营收预测!K29*其他非银金融服务参数!$C$31</f>
        <v>2.5766403804471292</v>
      </c>
      <c r="L100" s="35">
        <f>营收预测!L29*其他非银金融服务参数!$C$31</f>
        <v>2.8343044184918424</v>
      </c>
      <c r="M100" s="35">
        <f>营收预测!M29*其他非银金融服务参数!$C$31</f>
        <v>3.1177348603410269</v>
      </c>
      <c r="N100" s="35">
        <f>营收预测!N29*其他非银金融服务参数!$C$31</f>
        <v>3.4295083463751306</v>
      </c>
      <c r="O100" s="35">
        <f>营收预测!O29*其他非银金融服务参数!$C$31</f>
        <v>3.7724591810126435</v>
      </c>
      <c r="P100" s="35">
        <f>营收预测!P29*其他非银金融服务参数!$C$31</f>
        <v>4.1497050991139082</v>
      </c>
      <c r="Q100" s="35">
        <f>营收预测!Q29*其他非银金融服务参数!$C$31</f>
        <v>4.5646756090252989</v>
      </c>
      <c r="R100" s="35">
        <f>营收预测!R29*其他非银金融服务参数!$C$31</f>
        <v>5.0211431699278304</v>
      </c>
      <c r="S100" s="35">
        <f>营收预测!S29*其他非银金融服务参数!$C$31</f>
        <v>5.5232574869206124</v>
      </c>
      <c r="T100" s="35">
        <f>营收预测!T29*其他非银金融服务参数!$C$31</f>
        <v>6.0755832356126742</v>
      </c>
      <c r="U100" s="35">
        <f>营收预测!U29*其他非银金融服务参数!$C$31</f>
        <v>6.6831415591739436</v>
      </c>
    </row>
    <row r="101" spans="1:21" ht="13">
      <c r="A101" s="187" t="s">
        <v>448</v>
      </c>
      <c r="B101" s="35">
        <f>营收预测!B29*其他非银金融服务参数!$C$32</f>
        <v>1.2442560970500001</v>
      </c>
      <c r="C101" s="35">
        <f>营收预测!C29*其他非银金融服务参数!$C$32</f>
        <v>2.7373634135100002</v>
      </c>
      <c r="D101" s="35">
        <f>营收预测!D29*其他非银金融服务参数!$C$32</f>
        <v>3.7638746935762506</v>
      </c>
      <c r="E101" s="35">
        <f>营收预测!E29*其他非银金融服务参数!$C$32</f>
        <v>5.7963670281074258</v>
      </c>
      <c r="F101" s="35">
        <f>营收预测!F29*其他非银金融服务参数!$C$32</f>
        <v>6.3760037309181694</v>
      </c>
      <c r="G101" s="35">
        <f>营收预测!G29*其他非银金融服务参数!$C$32</f>
        <v>7.0136041040099872</v>
      </c>
      <c r="H101" s="35">
        <f>营收预测!H29*其他非银金融服务参数!$C$32</f>
        <v>7.7149645144109869</v>
      </c>
      <c r="I101" s="35">
        <f>营收预测!I29*其他非银金融服务参数!$C$32</f>
        <v>8.4864609658520873</v>
      </c>
      <c r="J101" s="35">
        <f>营收预测!J29*其他非银金融服务参数!$C$32</f>
        <v>9.3351070624372952</v>
      </c>
      <c r="K101" s="35">
        <f>营收预测!K29*其他非银金融服务参数!$C$32</f>
        <v>10.268617768681027</v>
      </c>
      <c r="L101" s="35">
        <f>营收预测!L29*其他非银金融服务参数!$C$32</f>
        <v>11.29547954554913</v>
      </c>
      <c r="M101" s="35">
        <f>营收预测!M29*其他非银金融服务参数!$C$32</f>
        <v>12.425027500104044</v>
      </c>
      <c r="N101" s="35">
        <f>营收预测!N29*其他非银金融服务参数!$C$32</f>
        <v>13.667530250114451</v>
      </c>
      <c r="O101" s="35">
        <f>营收预测!O29*其他非银金融服务参数!$C$32</f>
        <v>15.034283275125897</v>
      </c>
      <c r="P101" s="35">
        <f>营收预测!P29*其他非银金融服务参数!$C$32</f>
        <v>16.537711602638488</v>
      </c>
      <c r="Q101" s="35">
        <f>营收预测!Q29*其他非银金融服务参数!$C$32</f>
        <v>18.191482762902336</v>
      </c>
      <c r="R101" s="35">
        <f>营收预测!R29*其他非银金融服务参数!$C$32</f>
        <v>20.010631039192575</v>
      </c>
      <c r="S101" s="35">
        <f>营收预测!S29*其他非银金融服务参数!$C$32</f>
        <v>22.011694143111832</v>
      </c>
      <c r="T101" s="35">
        <f>营收预测!T29*其他非银金融服务参数!$C$32</f>
        <v>24.212863557423013</v>
      </c>
      <c r="U101" s="35">
        <f>营收预测!U29*其他非银金融服务参数!$C$32</f>
        <v>26.634149913165324</v>
      </c>
    </row>
    <row r="102" spans="1:21" ht="13">
      <c r="A102" s="187" t="s">
        <v>449</v>
      </c>
      <c r="B102" s="10"/>
      <c r="C102" s="10"/>
      <c r="D102" s="36"/>
      <c r="E102" s="36"/>
      <c r="F102" s="36"/>
      <c r="G102" s="36"/>
      <c r="H102" s="36"/>
      <c r="I102" s="36"/>
      <c r="J102" s="36"/>
      <c r="K102" s="36"/>
      <c r="L102" s="36"/>
      <c r="M102" s="36"/>
      <c r="N102" s="36"/>
      <c r="O102" s="36"/>
      <c r="P102" s="36"/>
      <c r="Q102" s="36"/>
      <c r="R102" s="36"/>
      <c r="S102" s="36"/>
      <c r="T102" s="36"/>
      <c r="U102" s="36"/>
    </row>
    <row r="103" spans="1:21" ht="13">
      <c r="A103" s="187" t="s">
        <v>450</v>
      </c>
      <c r="B103" s="10"/>
      <c r="C103" s="10"/>
      <c r="D103" s="36"/>
      <c r="E103" s="36"/>
      <c r="F103" s="36"/>
      <c r="G103" s="36"/>
      <c r="H103" s="36"/>
      <c r="I103" s="36"/>
      <c r="J103" s="36"/>
      <c r="K103" s="36"/>
      <c r="L103" s="36"/>
      <c r="M103" s="36"/>
      <c r="N103" s="36"/>
      <c r="O103" s="36"/>
      <c r="P103" s="36"/>
      <c r="Q103" s="36"/>
      <c r="R103" s="36"/>
      <c r="S103" s="36"/>
      <c r="T103" s="36"/>
      <c r="U103" s="36"/>
    </row>
    <row r="104" spans="1:21" ht="13">
      <c r="A104" s="187" t="s">
        <v>451</v>
      </c>
      <c r="B104" s="10"/>
      <c r="C104" s="10"/>
      <c r="D104" s="35"/>
      <c r="E104" s="35"/>
      <c r="F104" s="35"/>
      <c r="G104" s="35"/>
      <c r="H104" s="35"/>
      <c r="I104" s="35"/>
      <c r="J104" s="35"/>
      <c r="K104" s="35"/>
      <c r="L104" s="35"/>
      <c r="M104" s="35"/>
      <c r="N104" s="35"/>
      <c r="O104" s="35"/>
      <c r="P104" s="35"/>
      <c r="Q104" s="35"/>
      <c r="R104" s="35"/>
      <c r="S104" s="35"/>
      <c r="T104" s="35"/>
      <c r="U104" s="35"/>
    </row>
    <row r="105" spans="1:21" ht="13">
      <c r="A105" s="187" t="s">
        <v>76</v>
      </c>
      <c r="B105" s="141">
        <f>SUM(B100:B104)</f>
        <v>1.5564695395500001</v>
      </c>
      <c r="C105" s="141">
        <f t="shared" ref="C105" si="2">SUM(C100:C104)</f>
        <v>3.4242329870100003</v>
      </c>
      <c r="D105" s="141">
        <f t="shared" ref="D105" si="3">SUM(D100:D104)</f>
        <v>4.7083203571387511</v>
      </c>
      <c r="E105" s="141">
        <f t="shared" ref="E105" si="4">SUM(E100:E104)</f>
        <v>7.2508133499936758</v>
      </c>
      <c r="F105" s="141">
        <f t="shared" ref="F105" si="5">SUM(F100:F104)</f>
        <v>7.9758946849930457</v>
      </c>
      <c r="G105" s="141">
        <f t="shared" ref="G105" si="6">SUM(G100:G104)</f>
        <v>8.7734841534923511</v>
      </c>
      <c r="H105" s="141">
        <f t="shared" ref="H105" si="7">SUM(H100:H104)</f>
        <v>9.6508325688415866</v>
      </c>
      <c r="I105" s="141">
        <f t="shared" ref="I105" si="8">SUM(I100:I104)</f>
        <v>10.615915825725747</v>
      </c>
      <c r="J105" s="141">
        <f t="shared" ref="J105" si="9">SUM(J100:J104)</f>
        <v>11.677507408298322</v>
      </c>
      <c r="K105" s="141">
        <f t="shared" ref="K105" si="10">SUM(K100:K104)</f>
        <v>12.845258149128156</v>
      </c>
      <c r="L105" s="141">
        <f t="shared" ref="L105" si="11">SUM(L100:L104)</f>
        <v>14.129783964040971</v>
      </c>
      <c r="M105" s="141">
        <f t="shared" ref="M105" si="12">SUM(M100:M104)</f>
        <v>15.542762360445071</v>
      </c>
      <c r="N105" s="141">
        <f t="shared" ref="N105" si="13">SUM(N100:N104)</f>
        <v>17.097038596489583</v>
      </c>
      <c r="O105" s="141">
        <f t="shared" ref="O105" si="14">SUM(O100:O104)</f>
        <v>18.80674245613854</v>
      </c>
      <c r="P105" s="141">
        <f t="shared" ref="P105" si="15">SUM(P100:P104)</f>
        <v>20.687416701752397</v>
      </c>
      <c r="Q105" s="141">
        <f t="shared" ref="Q105" si="16">SUM(Q100:Q104)</f>
        <v>22.756158371927633</v>
      </c>
      <c r="R105" s="141">
        <f t="shared" ref="R105" si="17">SUM(R100:R104)</f>
        <v>25.031774209120407</v>
      </c>
      <c r="S105" s="141">
        <f t="shared" ref="S105" si="18">SUM(S100:S104)</f>
        <v>27.534951630032445</v>
      </c>
      <c r="T105" s="141">
        <f t="shared" ref="T105" si="19">SUM(T100:T104)</f>
        <v>30.288446793035689</v>
      </c>
      <c r="U105" s="141">
        <f t="shared" ref="U105" si="20">SUM(U100:U104)</f>
        <v>33.317291472339264</v>
      </c>
    </row>
    <row r="107" spans="1:21" ht="13">
      <c r="A107" s="197" t="s">
        <v>514</v>
      </c>
    </row>
    <row r="108" spans="1:21" ht="13">
      <c r="A108" s="9" t="s">
        <v>98</v>
      </c>
      <c r="B108" s="9">
        <v>1</v>
      </c>
      <c r="C108" s="9">
        <v>2</v>
      </c>
      <c r="D108" s="9">
        <v>3</v>
      </c>
      <c r="E108" s="9">
        <v>4</v>
      </c>
      <c r="F108" s="9">
        <v>5</v>
      </c>
      <c r="G108" s="9">
        <v>6</v>
      </c>
      <c r="H108" s="9">
        <v>7</v>
      </c>
      <c r="I108" s="9">
        <v>8</v>
      </c>
      <c r="J108" s="9">
        <v>9</v>
      </c>
      <c r="K108" s="9">
        <v>10</v>
      </c>
      <c r="L108" s="9">
        <v>11</v>
      </c>
      <c r="M108" s="9">
        <v>12</v>
      </c>
      <c r="N108" s="9">
        <v>13</v>
      </c>
      <c r="O108" s="9">
        <v>14</v>
      </c>
      <c r="P108" s="9">
        <v>15</v>
      </c>
      <c r="Q108" s="9">
        <v>16</v>
      </c>
      <c r="R108" s="9">
        <v>17</v>
      </c>
      <c r="S108" s="9">
        <v>18</v>
      </c>
      <c r="T108" s="9">
        <v>19</v>
      </c>
      <c r="U108" s="9">
        <v>20</v>
      </c>
    </row>
    <row r="109" spans="1:21" ht="13">
      <c r="A109" s="187" t="s">
        <v>251</v>
      </c>
      <c r="B109" s="35">
        <f>营收预测!B37*其他非银金融服务参数!$D$31</f>
        <v>0.14212864079999998</v>
      </c>
      <c r="C109" s="35">
        <f>营收预测!C37*其他非银金融服务参数!$D$31</f>
        <v>0.29278500004800001</v>
      </c>
      <c r="D109" s="35">
        <f>营收预测!D37*其他非银金融服务参数!$D$31</f>
        <v>0.37696068756180001</v>
      </c>
      <c r="E109" s="35">
        <f>营收预测!E37*其他非银金融服务参数!$D$31</f>
        <v>0.50475036064525025</v>
      </c>
      <c r="F109" s="35">
        <f>营收预测!F37*其他非银金融服务参数!$D$31</f>
        <v>0.51989287146460772</v>
      </c>
      <c r="G109" s="35">
        <f>营收预测!G37*其他非银金融服务参数!$D$31</f>
        <v>0.53548965760854583</v>
      </c>
      <c r="H109" s="35">
        <f>营收预测!H37*其他非银金融服务参数!$D$31</f>
        <v>0.55155434733680231</v>
      </c>
      <c r="I109" s="35">
        <f>营收预测!I37*其他非银金融服务参数!$D$31</f>
        <v>0.56810097775690627</v>
      </c>
      <c r="J109" s="35">
        <f>营收预测!J37*其他非银金融服务参数!$D$31</f>
        <v>0.58514400708961345</v>
      </c>
      <c r="K109" s="35">
        <f>营收预测!K37*其他非银金融服务参数!$D$31</f>
        <v>0.60269832730230199</v>
      </c>
      <c r="L109" s="35">
        <f>营收预测!L37*其他非银金融服务参数!$D$31</f>
        <v>0.62077927712137093</v>
      </c>
      <c r="M109" s="35">
        <f>营收预测!M37*其他非银金融服务参数!$D$31</f>
        <v>0.63940265543501207</v>
      </c>
      <c r="N109" s="35">
        <f>营收预测!N37*其他非银金融服务参数!$D$31</f>
        <v>0.65858473509806248</v>
      </c>
      <c r="O109" s="35">
        <f>营收预测!O37*其他非银金融服务参数!$D$31</f>
        <v>0.67834227715100437</v>
      </c>
      <c r="P109" s="35">
        <f>营收预测!P37*其他非银金融服务参数!$D$31</f>
        <v>0.6986925454655345</v>
      </c>
      <c r="Q109" s="35">
        <f>营收预测!Q37*其他非银金融服务参数!$D$31</f>
        <v>0.71965332182950048</v>
      </c>
      <c r="R109" s="35">
        <f>营收预测!R37*其他非银金融服务参数!$D$31</f>
        <v>0.74124292148438553</v>
      </c>
      <c r="S109" s="35">
        <f>营收预测!S37*其他非银金融服务参数!$D$31</f>
        <v>0.76348020912891701</v>
      </c>
      <c r="T109" s="35">
        <f>营收预测!T37*其他非银金融服务参数!$D$31</f>
        <v>0.7863846154027847</v>
      </c>
      <c r="U109" s="35">
        <f>营收预测!U37*其他非银金融服务参数!$D$31</f>
        <v>0.80997615386486821</v>
      </c>
    </row>
    <row r="110" spans="1:21" ht="13">
      <c r="A110" s="187" t="s">
        <v>448</v>
      </c>
      <c r="B110" s="35">
        <f>营收预测!B37*其他非银金融服务参数!$D$32</f>
        <v>5.0873066272000003</v>
      </c>
      <c r="C110" s="35">
        <f>营收预测!C37*其他非银金融服务参数!$D$32</f>
        <v>10.479851652032</v>
      </c>
      <c r="D110" s="35">
        <f>营收预测!D37*其他非银金融服务参数!$D$32</f>
        <v>13.492809001991201</v>
      </c>
      <c r="E110" s="35">
        <f>营收预测!E37*其他非银金融服务参数!$D$32</f>
        <v>18.066871253666218</v>
      </c>
      <c r="F110" s="35">
        <f>营收预测!F37*其他非银金融服务参数!$D$32</f>
        <v>18.608877391276202</v>
      </c>
      <c r="G110" s="35">
        <f>营收预测!G37*其他非银金融服务参数!$D$32</f>
        <v>19.167143713014486</v>
      </c>
      <c r="H110" s="35">
        <f>营收预测!H37*其他非银金融服务参数!$D$32</f>
        <v>19.742158024404922</v>
      </c>
      <c r="I110" s="35">
        <f>营收预测!I37*其他非银金融服务参数!$D$32</f>
        <v>20.33442276513707</v>
      </c>
      <c r="J110" s="35">
        <f>营收预测!J37*其他非银金融服务参数!$D$32</f>
        <v>20.944455448091183</v>
      </c>
      <c r="K110" s="35">
        <f>营收预测!K37*其他非银金融服务参数!$D$32</f>
        <v>21.572789111533918</v>
      </c>
      <c r="L110" s="35">
        <f>营收预测!L37*其他非银金融服务参数!$D$32</f>
        <v>22.219972784879936</v>
      </c>
      <c r="M110" s="35">
        <f>营收预测!M37*其他非银金融服务参数!$D$32</f>
        <v>22.886571968426335</v>
      </c>
      <c r="N110" s="35">
        <f>营收预测!N37*其他非银金融服务参数!$D$32</f>
        <v>23.573169127479122</v>
      </c>
      <c r="O110" s="35">
        <f>营收预测!O37*其他非银金融服务参数!$D$32</f>
        <v>24.280364201303499</v>
      </c>
      <c r="P110" s="35">
        <f>营收预测!P37*其他非银金融服务参数!$D$32</f>
        <v>25.008775127342606</v>
      </c>
      <c r="Q110" s="35">
        <f>营收预测!Q37*其他非银金融服务参数!$D$32</f>
        <v>25.759038381162881</v>
      </c>
      <c r="R110" s="35">
        <f>营收预测!R37*其他非银金融服务参数!$D$32</f>
        <v>26.531809532597766</v>
      </c>
      <c r="S110" s="35">
        <f>营收预测!S37*其他非银金融服务参数!$D$32</f>
        <v>27.327763818575697</v>
      </c>
      <c r="T110" s="35">
        <f>营收预测!T37*其他非银金融服务参数!$D$32</f>
        <v>28.147596733132975</v>
      </c>
      <c r="U110" s="35">
        <f>营收预测!U37*其他非银金融服务参数!$D$32</f>
        <v>28.992024635126963</v>
      </c>
    </row>
    <row r="111" spans="1:21" ht="13">
      <c r="A111" s="187" t="s">
        <v>449</v>
      </c>
      <c r="B111" s="10"/>
      <c r="C111" s="10"/>
      <c r="D111" s="36"/>
      <c r="E111" s="36"/>
      <c r="F111" s="36"/>
      <c r="G111" s="36"/>
      <c r="H111" s="36"/>
      <c r="I111" s="36"/>
      <c r="J111" s="36"/>
      <c r="K111" s="36"/>
      <c r="L111" s="36"/>
      <c r="M111" s="36"/>
      <c r="N111" s="36"/>
      <c r="O111" s="36"/>
      <c r="P111" s="36"/>
      <c r="Q111" s="36"/>
      <c r="R111" s="36"/>
      <c r="S111" s="36"/>
      <c r="T111" s="36"/>
      <c r="U111" s="36"/>
    </row>
    <row r="112" spans="1:21" ht="13">
      <c r="A112" s="187" t="s">
        <v>450</v>
      </c>
      <c r="B112" s="10"/>
      <c r="C112" s="10"/>
      <c r="D112" s="36"/>
      <c r="E112" s="36"/>
      <c r="F112" s="36"/>
      <c r="G112" s="36"/>
      <c r="H112" s="36"/>
      <c r="I112" s="36"/>
      <c r="J112" s="36"/>
      <c r="K112" s="36"/>
      <c r="L112" s="36"/>
      <c r="M112" s="36"/>
      <c r="N112" s="36"/>
      <c r="O112" s="36"/>
      <c r="P112" s="36"/>
      <c r="Q112" s="36"/>
      <c r="R112" s="36"/>
      <c r="S112" s="36"/>
      <c r="T112" s="36"/>
      <c r="U112" s="36"/>
    </row>
    <row r="113" spans="1:21" ht="13">
      <c r="A113" s="187" t="s">
        <v>451</v>
      </c>
      <c r="B113" s="10"/>
      <c r="C113" s="10"/>
      <c r="D113" s="35"/>
      <c r="E113" s="35"/>
      <c r="F113" s="35"/>
      <c r="G113" s="35"/>
      <c r="H113" s="35"/>
      <c r="I113" s="35"/>
      <c r="J113" s="35"/>
      <c r="K113" s="35"/>
      <c r="L113" s="35"/>
      <c r="M113" s="35"/>
      <c r="N113" s="35"/>
      <c r="O113" s="35"/>
      <c r="P113" s="35"/>
      <c r="Q113" s="35"/>
      <c r="R113" s="35"/>
      <c r="S113" s="35"/>
      <c r="T113" s="35"/>
      <c r="U113" s="35"/>
    </row>
    <row r="114" spans="1:21" ht="13">
      <c r="A114" s="187" t="s">
        <v>76</v>
      </c>
      <c r="B114" s="141">
        <f>SUM(B109:B113)</f>
        <v>5.2294352680000005</v>
      </c>
      <c r="C114" s="141">
        <f t="shared" ref="C114" si="21">SUM(C109:C113)</f>
        <v>10.772636652079999</v>
      </c>
      <c r="D114" s="141">
        <f t="shared" ref="D114" si="22">SUM(D109:D113)</f>
        <v>13.869769689553001</v>
      </c>
      <c r="E114" s="141">
        <f t="shared" ref="E114" si="23">SUM(E109:E113)</f>
        <v>18.571621614311468</v>
      </c>
      <c r="F114" s="141">
        <f t="shared" ref="F114" si="24">SUM(F109:F113)</f>
        <v>19.128770262740812</v>
      </c>
      <c r="G114" s="141">
        <f t="shared" ref="G114" si="25">SUM(G109:G113)</f>
        <v>19.702633370623033</v>
      </c>
      <c r="H114" s="141">
        <f t="shared" ref="H114" si="26">SUM(H109:H113)</f>
        <v>20.293712371741726</v>
      </c>
      <c r="I114" s="141">
        <f t="shared" ref="I114" si="27">SUM(I109:I113)</f>
        <v>20.902523742893976</v>
      </c>
      <c r="J114" s="141">
        <f t="shared" ref="J114" si="28">SUM(J109:J113)</f>
        <v>21.529599455180797</v>
      </c>
      <c r="K114" s="141">
        <f t="shared" ref="K114" si="29">SUM(K109:K113)</f>
        <v>22.175487438836221</v>
      </c>
      <c r="L114" s="141">
        <f t="shared" ref="L114" si="30">SUM(L109:L113)</f>
        <v>22.840752062001307</v>
      </c>
      <c r="M114" s="141">
        <f t="shared" ref="M114" si="31">SUM(M109:M113)</f>
        <v>23.525974623861348</v>
      </c>
      <c r="N114" s="141">
        <f t="shared" ref="N114" si="32">SUM(N109:N113)</f>
        <v>24.231753862577186</v>
      </c>
      <c r="O114" s="141">
        <f t="shared" ref="O114" si="33">SUM(O109:O113)</f>
        <v>24.958706478454502</v>
      </c>
      <c r="P114" s="141">
        <f t="shared" ref="P114" si="34">SUM(P109:P113)</f>
        <v>25.707467672808139</v>
      </c>
      <c r="Q114" s="141">
        <f t="shared" ref="Q114" si="35">SUM(Q109:Q113)</f>
        <v>26.478691702992382</v>
      </c>
      <c r="R114" s="141">
        <f t="shared" ref="R114" si="36">SUM(R109:R113)</f>
        <v>27.273052454082151</v>
      </c>
      <c r="S114" s="141">
        <f t="shared" ref="S114" si="37">SUM(S109:S113)</f>
        <v>28.091244027704615</v>
      </c>
      <c r="T114" s="141">
        <f t="shared" ref="T114" si="38">SUM(T109:T113)</f>
        <v>28.93398134853576</v>
      </c>
      <c r="U114" s="141">
        <f t="shared" ref="U114" si="39">SUM(U109:U113)</f>
        <v>29.802000788991833</v>
      </c>
    </row>
    <row r="116" spans="1:21" ht="13">
      <c r="A116" s="197" t="s">
        <v>528</v>
      </c>
    </row>
    <row r="117" spans="1:21" ht="13">
      <c r="A117" s="9" t="s">
        <v>98</v>
      </c>
      <c r="B117" s="9">
        <v>1</v>
      </c>
      <c r="C117" s="9">
        <v>2</v>
      </c>
      <c r="D117" s="9">
        <v>3</v>
      </c>
      <c r="E117" s="9">
        <v>4</v>
      </c>
      <c r="F117" s="9">
        <v>5</v>
      </c>
      <c r="G117" s="9">
        <v>6</v>
      </c>
      <c r="H117" s="9">
        <v>7</v>
      </c>
      <c r="I117" s="9">
        <v>8</v>
      </c>
      <c r="J117" s="9">
        <v>9</v>
      </c>
      <c r="K117" s="9">
        <v>10</v>
      </c>
      <c r="L117" s="9">
        <v>11</v>
      </c>
      <c r="M117" s="9">
        <v>12</v>
      </c>
      <c r="N117" s="9">
        <v>13</v>
      </c>
      <c r="O117" s="9">
        <v>14</v>
      </c>
      <c r="P117" s="9">
        <v>15</v>
      </c>
      <c r="Q117" s="9">
        <v>16</v>
      </c>
      <c r="R117" s="9">
        <v>17</v>
      </c>
      <c r="S117" s="9">
        <v>18</v>
      </c>
      <c r="T117" s="9">
        <v>19</v>
      </c>
      <c r="U117" s="9">
        <v>20</v>
      </c>
    </row>
    <row r="118" spans="1:21" ht="13">
      <c r="A118" s="190" t="s">
        <v>251</v>
      </c>
      <c r="B118" s="35">
        <f>营收预测!B45*其他非银金融服务参数!$E$31</f>
        <v>0.23639972060000003</v>
      </c>
      <c r="C118" s="35">
        <f>营收预测!C45*其他非银金融服务参数!$E$31</f>
        <v>0.52007938532000009</v>
      </c>
      <c r="D118" s="35">
        <f>营收预测!D45*其他非银金融服务参数!$E$31</f>
        <v>0.85813098577800029</v>
      </c>
      <c r="E118" s="35">
        <f>营收预测!E45*其他非银金融服务参数!$E$31</f>
        <v>1.2585921124744004</v>
      </c>
      <c r="F118" s="35">
        <f>营收预测!F45*其他非银金融服务参数!$E$31</f>
        <v>0.17305641546523007</v>
      </c>
      <c r="G118" s="35">
        <f>营收预测!G45*其他非银金融服务参数!$E$31</f>
        <v>0.19036205701175307</v>
      </c>
      <c r="H118" s="35">
        <f>营收预测!H45*其他非银金融服务参数!$E$31</f>
        <v>0.20939826271292841</v>
      </c>
      <c r="I118" s="35">
        <f>营收预测!I45*其他非银金融服务参数!$E$31</f>
        <v>0.23033808898422126</v>
      </c>
      <c r="J118" s="35">
        <f>营收预测!J45*其他非银金融服务参数!$E$31</f>
        <v>0.25337189788264342</v>
      </c>
      <c r="K118" s="35">
        <f>营收预测!K45*其他非银金融服务参数!$E$31</f>
        <v>0.27870908767090774</v>
      </c>
      <c r="L118" s="35">
        <f>营收预测!L45*其他非银金融服务参数!$E$31</f>
        <v>0.30657999643799855</v>
      </c>
      <c r="M118" s="35">
        <f>营收预测!M45*其他非银金融服务参数!$E$31</f>
        <v>0.33723799608179839</v>
      </c>
      <c r="N118" s="35">
        <f>营收预测!N45*其他非银金融服务参数!$E$31</f>
        <v>0.37096179568997828</v>
      </c>
      <c r="O118" s="35">
        <f>营收预测!O45*其他非银金融服务参数!$E$31</f>
        <v>0.40805797525897614</v>
      </c>
      <c r="P118" s="35">
        <f>营收预测!P45*其他非银金融服务参数!$E$31</f>
        <v>0.44886377278487377</v>
      </c>
      <c r="Q118" s="35">
        <f>营收预测!Q45*其他非银金融服务参数!$E$31</f>
        <v>0.4937501500633612</v>
      </c>
      <c r="R118" s="35">
        <f>营收预测!R45*其他非银金融服务参数!$E$31</f>
        <v>0.54312516506969744</v>
      </c>
      <c r="S118" s="35">
        <f>营收预测!S45*其他非银金融服务参数!$E$31</f>
        <v>0.59743768157666721</v>
      </c>
      <c r="T118" s="35">
        <f>营收预测!T45*其他非银金融服务参数!$E$31</f>
        <v>0.65718144973433401</v>
      </c>
      <c r="U118" s="35">
        <f>营收预测!U45*其他非银金融服务参数!$E$31</f>
        <v>0.72289959470776743</v>
      </c>
    </row>
    <row r="119" spans="1:21" ht="13">
      <c r="A119" s="190" t="s">
        <v>448</v>
      </c>
      <c r="B119" s="35">
        <f>营收预测!B45*其他非银金融服务参数!$E$32</f>
        <v>2.111828</v>
      </c>
      <c r="C119" s="35">
        <f>营收预测!C45*其他非银金融服务参数!$E$32</f>
        <v>4.6460216000000001</v>
      </c>
      <c r="D119" s="35">
        <f>营收预测!D45*其他非银金融服务参数!$E$32</f>
        <v>7.6659356400000016</v>
      </c>
      <c r="E119" s="35">
        <f>营收预测!E45*其他非银金融服务参数!$E$32</f>
        <v>11.243372272000002</v>
      </c>
      <c r="F119" s="35">
        <f>营收预测!F45*其他非银金融服务参数!$E$32</f>
        <v>1.5459636874000005</v>
      </c>
      <c r="G119" s="35">
        <f>营收预测!G45*其他非银金融服务参数!$E$32</f>
        <v>1.7005600561400005</v>
      </c>
      <c r="H119" s="35">
        <f>营收预测!H45*其他非银金融服务参数!$E$32</f>
        <v>1.8706160617540006</v>
      </c>
      <c r="I119" s="35">
        <f>营收预测!I45*其他非银金融服务参数!$E$32</f>
        <v>2.0576776679294011</v>
      </c>
      <c r="J119" s="35">
        <f>营收预测!J45*其他非银金融服务参数!$E$32</f>
        <v>2.2634454347223412</v>
      </c>
      <c r="K119" s="35">
        <f>营收预测!K45*其他非银金融服务参数!$E$32</f>
        <v>2.4897899781945751</v>
      </c>
      <c r="L119" s="35">
        <f>营收预测!L45*其他非银金融服务参数!$E$32</f>
        <v>2.738768976014033</v>
      </c>
      <c r="M119" s="35">
        <f>营收预测!M45*其他非银金融服务参数!$E$32</f>
        <v>3.0126458736154365</v>
      </c>
      <c r="N119" s="35">
        <f>营收预测!N45*其他非银金融服务参数!$E$32</f>
        <v>3.3139104609769801</v>
      </c>
      <c r="O119" s="35">
        <f>营收预测!O45*其他非银金融服务参数!$E$32</f>
        <v>3.6453015070746786</v>
      </c>
      <c r="P119" s="35">
        <f>营收预测!P45*其他非银金融服务参数!$E$32</f>
        <v>4.0098316577821462</v>
      </c>
      <c r="Q119" s="35">
        <f>营收预测!Q45*其他非银金融服务参数!$E$32</f>
        <v>4.4108148235603615</v>
      </c>
      <c r="R119" s="35">
        <f>营收预测!R45*其他非银金融服务参数!$E$32</f>
        <v>4.8518963059163989</v>
      </c>
      <c r="S119" s="35">
        <f>营收预测!S45*其他非银金融服务参数!$E$32</f>
        <v>5.3370859365080392</v>
      </c>
      <c r="T119" s="35">
        <f>营收预测!T45*其他非银金融服务参数!$E$32</f>
        <v>5.870794530158844</v>
      </c>
      <c r="U119" s="35">
        <f>营收预测!U45*其他非银金融服务参数!$E$32</f>
        <v>6.4578739831747285</v>
      </c>
    </row>
    <row r="120" spans="1:21" ht="13">
      <c r="A120" s="190" t="s">
        <v>449</v>
      </c>
      <c r="B120" s="10"/>
      <c r="C120" s="10"/>
      <c r="D120" s="36"/>
      <c r="E120" s="36"/>
      <c r="F120" s="36"/>
      <c r="G120" s="36"/>
      <c r="H120" s="36"/>
      <c r="I120" s="36"/>
      <c r="J120" s="36"/>
      <c r="K120" s="36"/>
      <c r="L120" s="36"/>
      <c r="M120" s="36"/>
      <c r="N120" s="36"/>
      <c r="O120" s="36"/>
      <c r="P120" s="36"/>
      <c r="Q120" s="36"/>
      <c r="R120" s="36"/>
      <c r="S120" s="36"/>
      <c r="T120" s="36"/>
      <c r="U120" s="36"/>
    </row>
    <row r="121" spans="1:21" ht="13">
      <c r="A121" s="190" t="s">
        <v>450</v>
      </c>
      <c r="B121" s="10"/>
      <c r="C121" s="10"/>
      <c r="D121" s="36"/>
      <c r="E121" s="36"/>
      <c r="F121" s="36"/>
      <c r="G121" s="36"/>
      <c r="H121" s="36"/>
      <c r="I121" s="36"/>
      <c r="J121" s="36"/>
      <c r="K121" s="36"/>
      <c r="L121" s="36"/>
      <c r="M121" s="36"/>
      <c r="N121" s="36"/>
      <c r="O121" s="36"/>
      <c r="P121" s="36"/>
      <c r="Q121" s="36"/>
      <c r="R121" s="36"/>
      <c r="S121" s="36"/>
      <c r="T121" s="36"/>
      <c r="U121" s="36"/>
    </row>
    <row r="122" spans="1:21" ht="13">
      <c r="A122" s="190" t="s">
        <v>451</v>
      </c>
      <c r="B122" s="10"/>
      <c r="C122" s="10"/>
      <c r="D122" s="35"/>
      <c r="E122" s="35"/>
      <c r="F122" s="35"/>
      <c r="G122" s="35"/>
      <c r="H122" s="35"/>
      <c r="I122" s="35"/>
      <c r="J122" s="35"/>
      <c r="K122" s="35"/>
      <c r="L122" s="35"/>
      <c r="M122" s="35"/>
      <c r="N122" s="35"/>
      <c r="O122" s="35"/>
      <c r="P122" s="35"/>
      <c r="Q122" s="35"/>
      <c r="R122" s="35"/>
      <c r="S122" s="35"/>
      <c r="T122" s="35"/>
      <c r="U122" s="35"/>
    </row>
    <row r="123" spans="1:21" ht="13">
      <c r="A123" s="190" t="s">
        <v>76</v>
      </c>
      <c r="B123" s="141">
        <f>SUM(B118:B122)</f>
        <v>2.3482277206000002</v>
      </c>
      <c r="C123" s="141">
        <f t="shared" ref="C123:U123" si="40">SUM(C118:C122)</f>
        <v>5.1661009853199999</v>
      </c>
      <c r="D123" s="141">
        <f t="shared" si="40"/>
        <v>8.5240666257780013</v>
      </c>
      <c r="E123" s="141">
        <f t="shared" si="40"/>
        <v>12.501964384474402</v>
      </c>
      <c r="F123" s="141">
        <f t="shared" si="40"/>
        <v>1.7190201028652305</v>
      </c>
      <c r="G123" s="141">
        <f t="shared" si="40"/>
        <v>1.8909221131517535</v>
      </c>
      <c r="H123" s="141">
        <f t="shared" si="40"/>
        <v>2.0800143244669291</v>
      </c>
      <c r="I123" s="141">
        <f t="shared" si="40"/>
        <v>2.2880157569136221</v>
      </c>
      <c r="J123" s="141">
        <f t="shared" si="40"/>
        <v>2.5168173326049845</v>
      </c>
      <c r="K123" s="141">
        <f t="shared" si="40"/>
        <v>2.7684990658654831</v>
      </c>
      <c r="L123" s="141">
        <f t="shared" si="40"/>
        <v>3.0453489724520315</v>
      </c>
      <c r="M123" s="141">
        <f t="shared" si="40"/>
        <v>3.3498838696972348</v>
      </c>
      <c r="N123" s="141">
        <f t="shared" si="40"/>
        <v>3.6848722566669583</v>
      </c>
      <c r="O123" s="141">
        <f t="shared" si="40"/>
        <v>4.0533594823336543</v>
      </c>
      <c r="P123" s="141">
        <f t="shared" si="40"/>
        <v>4.4586954305670199</v>
      </c>
      <c r="Q123" s="141">
        <f t="shared" si="40"/>
        <v>4.9045649736237227</v>
      </c>
      <c r="R123" s="141">
        <f t="shared" si="40"/>
        <v>5.3950214709860962</v>
      </c>
      <c r="S123" s="141">
        <f t="shared" si="40"/>
        <v>5.9345236180847065</v>
      </c>
      <c r="T123" s="141">
        <f t="shared" si="40"/>
        <v>6.5279759798931778</v>
      </c>
      <c r="U123" s="141">
        <f t="shared" si="40"/>
        <v>7.1807735778824959</v>
      </c>
    </row>
  </sheetData>
  <mergeCells count="33">
    <mergeCell ref="A1:U1"/>
    <mergeCell ref="B2:C2"/>
    <mergeCell ref="D2:U2"/>
    <mergeCell ref="A11:U11"/>
    <mergeCell ref="B12:C12"/>
    <mergeCell ref="D12:U12"/>
    <mergeCell ref="A22:U22"/>
    <mergeCell ref="B23:C23"/>
    <mergeCell ref="D23:U23"/>
    <mergeCell ref="A30:U30"/>
    <mergeCell ref="B31:C31"/>
    <mergeCell ref="D31:U31"/>
    <mergeCell ref="A40:U40"/>
    <mergeCell ref="B41:C41"/>
    <mergeCell ref="D41:U41"/>
    <mergeCell ref="A50:U50"/>
    <mergeCell ref="B51:C51"/>
    <mergeCell ref="D51:U51"/>
    <mergeCell ref="A59:U59"/>
    <mergeCell ref="B60:C60"/>
    <mergeCell ref="D60:U60"/>
    <mergeCell ref="A67:U67"/>
    <mergeCell ref="B68:C68"/>
    <mergeCell ref="D68:U68"/>
    <mergeCell ref="A91:U91"/>
    <mergeCell ref="B92:C92"/>
    <mergeCell ref="D92:U92"/>
    <mergeCell ref="A75:U75"/>
    <mergeCell ref="B76:C76"/>
    <mergeCell ref="D76:U76"/>
    <mergeCell ref="A83:U83"/>
    <mergeCell ref="B84:C84"/>
    <mergeCell ref="D84:U84"/>
  </mergeCells>
  <phoneticPr fontId="7"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C9A700-A345-48F6-A930-FFA80E6D03A6}">
  <dimension ref="A1:E32"/>
  <sheetViews>
    <sheetView tabSelected="1" workbookViewId="0">
      <selection activeCell="E28" sqref="E28"/>
    </sheetView>
  </sheetViews>
  <sheetFormatPr defaultRowHeight="12.5"/>
  <cols>
    <col min="1" max="1" width="9.54296875" bestFit="1" customWidth="1"/>
    <col min="2" max="2" width="37" customWidth="1"/>
    <col min="3" max="3" width="27.54296875" customWidth="1"/>
    <col min="4" max="4" width="91.54296875" customWidth="1"/>
    <col min="5" max="5" width="90.1796875" customWidth="1"/>
  </cols>
  <sheetData>
    <row r="1" spans="1:5" ht="14.5">
      <c r="A1" s="325" t="s">
        <v>846</v>
      </c>
    </row>
    <row r="2" spans="1:5" ht="14">
      <c r="A2" s="337" t="s">
        <v>857</v>
      </c>
      <c r="B2" s="338"/>
      <c r="C2" s="338"/>
      <c r="D2" s="338"/>
      <c r="E2" s="339"/>
    </row>
    <row r="3" spans="1:5" ht="14">
      <c r="A3" s="292" t="s">
        <v>91</v>
      </c>
      <c r="B3" s="292" t="s">
        <v>754</v>
      </c>
      <c r="C3" s="292" t="s">
        <v>845</v>
      </c>
      <c r="D3" s="292" t="s">
        <v>755</v>
      </c>
      <c r="E3" s="292" t="s">
        <v>756</v>
      </c>
    </row>
    <row r="4" spans="1:5" ht="14">
      <c r="A4" s="293">
        <v>1</v>
      </c>
      <c r="B4" s="294" t="s">
        <v>828</v>
      </c>
      <c r="C4" s="294" t="s">
        <v>861</v>
      </c>
      <c r="D4" s="294" t="s">
        <v>760</v>
      </c>
      <c r="E4" s="294" t="s">
        <v>856</v>
      </c>
    </row>
    <row r="5" spans="1:5" ht="30.5">
      <c r="A5" s="293">
        <v>2</v>
      </c>
      <c r="B5" s="294" t="s">
        <v>788</v>
      </c>
      <c r="C5" s="324" t="s">
        <v>861</v>
      </c>
      <c r="D5" s="294" t="s">
        <v>825</v>
      </c>
      <c r="E5" s="295" t="s">
        <v>862</v>
      </c>
    </row>
    <row r="6" spans="1:5" ht="18" customHeight="1">
      <c r="A6" s="305">
        <v>3</v>
      </c>
      <c r="B6" s="294" t="s">
        <v>804</v>
      </c>
      <c r="C6" s="324" t="s">
        <v>861</v>
      </c>
      <c r="D6" s="306" t="s">
        <v>826</v>
      </c>
      <c r="E6" s="304" t="s">
        <v>863</v>
      </c>
    </row>
    <row r="7" spans="1:5" ht="19.5" customHeight="1">
      <c r="A7" s="293">
        <v>4</v>
      </c>
      <c r="B7" s="294" t="s">
        <v>761</v>
      </c>
      <c r="C7" s="324" t="s">
        <v>861</v>
      </c>
      <c r="D7" s="294" t="s">
        <v>803</v>
      </c>
      <c r="E7" s="295" t="s">
        <v>864</v>
      </c>
    </row>
    <row r="8" spans="1:5" ht="19.5" customHeight="1">
      <c r="A8" s="322" t="s">
        <v>847</v>
      </c>
      <c r="B8" s="324"/>
      <c r="C8" s="301"/>
      <c r="D8" s="324"/>
      <c r="E8" s="323"/>
    </row>
    <row r="9" spans="1:5" ht="19.5" customHeight="1">
      <c r="A9" s="322" t="s">
        <v>846</v>
      </c>
      <c r="B9" s="324"/>
      <c r="C9" s="301"/>
      <c r="D9" s="324"/>
      <c r="E9" s="323"/>
    </row>
    <row r="10" spans="1:5" ht="14">
      <c r="A10" s="337" t="s">
        <v>858</v>
      </c>
      <c r="B10" s="338"/>
      <c r="C10" s="338"/>
      <c r="D10" s="338"/>
      <c r="E10" s="339"/>
    </row>
    <row r="11" spans="1:5" ht="14">
      <c r="A11" s="292" t="s">
        <v>91</v>
      </c>
      <c r="B11" s="292" t="s">
        <v>754</v>
      </c>
      <c r="C11" s="292" t="s">
        <v>845</v>
      </c>
      <c r="D11" s="292" t="s">
        <v>755</v>
      </c>
      <c r="E11" s="292" t="s">
        <v>756</v>
      </c>
    </row>
    <row r="12" spans="1:5" ht="18.75" customHeight="1">
      <c r="A12" s="298">
        <v>1</v>
      </c>
      <c r="B12" s="294" t="s">
        <v>477</v>
      </c>
      <c r="C12" s="301" t="s">
        <v>861</v>
      </c>
      <c r="D12" s="296" t="s">
        <v>805</v>
      </c>
      <c r="E12" s="299" t="s">
        <v>865</v>
      </c>
    </row>
    <row r="13" spans="1:5" ht="18.75" customHeight="1">
      <c r="A13" s="318">
        <v>2</v>
      </c>
      <c r="B13" s="320" t="s">
        <v>841</v>
      </c>
      <c r="C13" s="301" t="s">
        <v>861</v>
      </c>
      <c r="D13" s="317" t="s">
        <v>842</v>
      </c>
      <c r="E13" s="319" t="s">
        <v>843</v>
      </c>
    </row>
    <row r="14" spans="1:5" ht="14" customHeight="1">
      <c r="A14" s="326">
        <v>3.1</v>
      </c>
      <c r="B14" s="294" t="s">
        <v>798</v>
      </c>
      <c r="C14" s="301" t="s">
        <v>861</v>
      </c>
      <c r="D14" s="328" t="s">
        <v>802</v>
      </c>
      <c r="E14" s="327" t="s">
        <v>866</v>
      </c>
    </row>
    <row r="15" spans="1:5" ht="56">
      <c r="A15" s="326">
        <v>3.2</v>
      </c>
      <c r="B15" s="294" t="s">
        <v>799</v>
      </c>
      <c r="C15" s="301" t="s">
        <v>861</v>
      </c>
      <c r="D15" s="328" t="s">
        <v>802</v>
      </c>
      <c r="E15" s="327" t="s">
        <v>866</v>
      </c>
    </row>
    <row r="16" spans="1:5" ht="56">
      <c r="A16" s="326">
        <v>3.3</v>
      </c>
      <c r="B16" s="294" t="s">
        <v>800</v>
      </c>
      <c r="C16" s="301" t="s">
        <v>861</v>
      </c>
      <c r="D16" s="328" t="s">
        <v>802</v>
      </c>
      <c r="E16" s="327" t="s">
        <v>866</v>
      </c>
    </row>
    <row r="17" spans="1:5" ht="14" customHeight="1">
      <c r="A17" s="326">
        <v>4.0999999999999996</v>
      </c>
      <c r="B17" s="294" t="s">
        <v>764</v>
      </c>
      <c r="C17" s="301" t="s">
        <v>861</v>
      </c>
      <c r="D17" s="328" t="s">
        <v>806</v>
      </c>
      <c r="E17" s="328" t="s">
        <v>867</v>
      </c>
    </row>
    <row r="18" spans="1:5" ht="56">
      <c r="A18" s="326">
        <v>4.2</v>
      </c>
      <c r="B18" s="294" t="s">
        <v>763</v>
      </c>
      <c r="C18" s="301" t="s">
        <v>861</v>
      </c>
      <c r="D18" s="328" t="s">
        <v>806</v>
      </c>
      <c r="E18" s="328" t="s">
        <v>867</v>
      </c>
    </row>
    <row r="19" spans="1:5" ht="56">
      <c r="A19" s="326">
        <v>4.3</v>
      </c>
      <c r="B19" s="294" t="s">
        <v>762</v>
      </c>
      <c r="C19" s="301" t="s">
        <v>861</v>
      </c>
      <c r="D19" s="328" t="s">
        <v>806</v>
      </c>
      <c r="E19" s="328" t="s">
        <v>867</v>
      </c>
    </row>
    <row r="20" spans="1:5" ht="19.5" customHeight="1">
      <c r="A20" s="322" t="s">
        <v>847</v>
      </c>
      <c r="B20" s="324"/>
      <c r="C20" s="301"/>
      <c r="D20" s="324"/>
      <c r="E20" s="323"/>
    </row>
    <row r="21" spans="1:5" ht="19.5" customHeight="1">
      <c r="A21" s="322" t="s">
        <v>846</v>
      </c>
      <c r="B21" s="324"/>
      <c r="C21" s="301"/>
      <c r="D21" s="324"/>
      <c r="E21" s="323"/>
    </row>
    <row r="22" spans="1:5" ht="14">
      <c r="A22" s="337" t="s">
        <v>859</v>
      </c>
      <c r="B22" s="338"/>
      <c r="C22" s="338"/>
      <c r="D22" s="338"/>
      <c r="E22" s="339"/>
    </row>
    <row r="23" spans="1:5" ht="14">
      <c r="A23" s="292" t="s">
        <v>91</v>
      </c>
      <c r="B23" s="292" t="s">
        <v>754</v>
      </c>
      <c r="C23" s="292" t="s">
        <v>845</v>
      </c>
      <c r="D23" s="292" t="s">
        <v>755</v>
      </c>
      <c r="E23" s="292" t="s">
        <v>756</v>
      </c>
    </row>
    <row r="24" spans="1:5" ht="28">
      <c r="A24" s="293">
        <v>1</v>
      </c>
      <c r="B24" s="294" t="s">
        <v>757</v>
      </c>
      <c r="C24" s="297" t="s">
        <v>861</v>
      </c>
      <c r="D24" s="294" t="s">
        <v>807</v>
      </c>
      <c r="E24" s="295" t="s">
        <v>868</v>
      </c>
    </row>
    <row r="25" spans="1:5" ht="28">
      <c r="A25" s="293">
        <v>2</v>
      </c>
      <c r="B25" s="294" t="s">
        <v>758</v>
      </c>
      <c r="C25" s="297" t="s">
        <v>861</v>
      </c>
      <c r="D25" s="294" t="s">
        <v>808</v>
      </c>
      <c r="E25" s="295" t="s">
        <v>869</v>
      </c>
    </row>
    <row r="26" spans="1:5" ht="14.5" customHeight="1">
      <c r="A26" s="305">
        <v>3</v>
      </c>
      <c r="B26" s="294" t="s">
        <v>819</v>
      </c>
      <c r="C26" s="297" t="s">
        <v>861</v>
      </c>
      <c r="D26" s="306" t="s">
        <v>818</v>
      </c>
      <c r="E26" s="304" t="s">
        <v>870</v>
      </c>
    </row>
    <row r="27" spans="1:5" ht="19.5" customHeight="1">
      <c r="A27" s="322" t="s">
        <v>847</v>
      </c>
      <c r="B27" s="324"/>
      <c r="C27" s="301"/>
      <c r="D27" s="324"/>
      <c r="E27" s="323"/>
    </row>
    <row r="28" spans="1:5" ht="19.5" customHeight="1">
      <c r="A28" s="322" t="s">
        <v>846</v>
      </c>
      <c r="B28" s="324"/>
      <c r="C28" s="301"/>
      <c r="D28" s="324"/>
      <c r="E28" s="323"/>
    </row>
    <row r="29" spans="1:5" ht="14">
      <c r="A29" s="337" t="s">
        <v>860</v>
      </c>
      <c r="B29" s="338"/>
      <c r="C29" s="338"/>
      <c r="D29" s="338"/>
      <c r="E29" s="339"/>
    </row>
    <row r="30" spans="1:5" ht="14">
      <c r="A30" s="292" t="s">
        <v>91</v>
      </c>
      <c r="B30" s="292" t="s">
        <v>754</v>
      </c>
      <c r="C30" s="292" t="s">
        <v>845</v>
      </c>
      <c r="D30" s="292" t="s">
        <v>755</v>
      </c>
      <c r="E30" s="292" t="s">
        <v>756</v>
      </c>
    </row>
    <row r="31" spans="1:5" ht="72.75" customHeight="1">
      <c r="A31" s="293">
        <v>1</v>
      </c>
      <c r="B31" s="294" t="s">
        <v>759</v>
      </c>
      <c r="C31" s="297" t="s">
        <v>861</v>
      </c>
      <c r="D31" s="294" t="s">
        <v>801</v>
      </c>
      <c r="E31" s="295" t="s">
        <v>793</v>
      </c>
    </row>
    <row r="32" spans="1:5" ht="13">
      <c r="A32" s="2" t="s">
        <v>847</v>
      </c>
    </row>
  </sheetData>
  <mergeCells count="4">
    <mergeCell ref="A2:E2"/>
    <mergeCell ref="A10:E10"/>
    <mergeCell ref="A22:E22"/>
    <mergeCell ref="A29:E29"/>
  </mergeCells>
  <phoneticPr fontId="7" type="noConversion"/>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G40"/>
  <sheetViews>
    <sheetView zoomScale="80" zoomScaleNormal="80" workbookViewId="0">
      <selection activeCell="A2" sqref="A2:A40"/>
    </sheetView>
  </sheetViews>
  <sheetFormatPr defaultRowHeight="12.5"/>
  <cols>
    <col min="2" max="2" width="29.81640625" customWidth="1"/>
    <col min="4" max="4" width="12.1796875" bestFit="1" customWidth="1"/>
    <col min="5" max="5" width="16" customWidth="1"/>
    <col min="6" max="6" width="19" customWidth="1"/>
    <col min="7" max="7" width="23.1796875" customWidth="1"/>
    <col min="8" max="8" width="9.1796875" customWidth="1"/>
  </cols>
  <sheetData>
    <row r="1" spans="1:7" ht="21">
      <c r="A1" s="379" t="s">
        <v>96</v>
      </c>
      <c r="B1" s="379"/>
      <c r="C1" s="379"/>
      <c r="D1" s="379"/>
      <c r="E1" s="379"/>
      <c r="F1" s="379"/>
      <c r="G1" s="379"/>
    </row>
    <row r="2" spans="1:7" ht="15">
      <c r="A2" s="12" t="s">
        <v>0</v>
      </c>
      <c r="B2" s="12" t="s">
        <v>12</v>
      </c>
      <c r="C2" s="12" t="s">
        <v>1</v>
      </c>
      <c r="D2" s="12" t="s">
        <v>452</v>
      </c>
      <c r="E2" s="13" t="s">
        <v>13</v>
      </c>
      <c r="F2" s="14" t="s">
        <v>14</v>
      </c>
      <c r="G2" s="12" t="s">
        <v>2</v>
      </c>
    </row>
    <row r="3" spans="1:7" ht="15">
      <c r="A3" s="203" t="s">
        <v>3</v>
      </c>
      <c r="B3" s="194" t="s">
        <v>15</v>
      </c>
      <c r="C3" s="15"/>
      <c r="D3" s="15"/>
      <c r="E3" s="16"/>
      <c r="F3" s="17" t="e">
        <f>F4+F8+F10</f>
        <v>#REF!</v>
      </c>
      <c r="G3" s="15"/>
    </row>
    <row r="4" spans="1:7" ht="15" customHeight="1">
      <c r="A4" s="204">
        <v>1</v>
      </c>
      <c r="B4" s="19" t="s">
        <v>291</v>
      </c>
      <c r="C4" s="18" t="s">
        <v>16</v>
      </c>
      <c r="D4" s="20"/>
      <c r="E4" s="20"/>
      <c r="F4" s="20" t="e">
        <f>SUM(F5:F7)</f>
        <v>#REF!</v>
      </c>
      <c r="G4" s="21"/>
    </row>
    <row r="5" spans="1:7" ht="15">
      <c r="A5" s="204">
        <v>1.1000000000000001</v>
      </c>
      <c r="B5" s="19" t="s">
        <v>92</v>
      </c>
      <c r="C5" s="18" t="s">
        <v>16</v>
      </c>
      <c r="D5" s="211">
        <f>输入参数!C22*10000</f>
        <v>52500</v>
      </c>
      <c r="E5" s="20">
        <v>4000</v>
      </c>
      <c r="F5" s="20">
        <f>D5*E5/10000</f>
        <v>21000</v>
      </c>
      <c r="G5" s="21"/>
    </row>
    <row r="6" spans="1:7" ht="15">
      <c r="A6" s="204">
        <v>1.2</v>
      </c>
      <c r="B6" s="19" t="s">
        <v>93</v>
      </c>
      <c r="C6" s="18" t="s">
        <v>16</v>
      </c>
      <c r="D6" s="211">
        <f>D5*80%</f>
        <v>42000</v>
      </c>
      <c r="E6" s="20">
        <v>2500</v>
      </c>
      <c r="F6" s="20">
        <f t="shared" ref="F6:F11" si="0">D6*E6/10000</f>
        <v>10500</v>
      </c>
      <c r="G6" s="21"/>
    </row>
    <row r="7" spans="1:7" ht="15" customHeight="1">
      <c r="A7" s="204">
        <v>1.3</v>
      </c>
      <c r="B7" s="19" t="s">
        <v>94</v>
      </c>
      <c r="C7" s="18" t="s">
        <v>16</v>
      </c>
      <c r="D7" s="211" t="e">
        <f>输入参数!C31*0.1*35</f>
        <v>#REF!</v>
      </c>
      <c r="E7" s="20">
        <v>3500</v>
      </c>
      <c r="F7" s="20" t="e">
        <f t="shared" si="0"/>
        <v>#REF!</v>
      </c>
      <c r="G7" s="22"/>
    </row>
    <row r="8" spans="1:7" ht="15">
      <c r="A8" s="204">
        <v>2</v>
      </c>
      <c r="B8" s="19" t="s">
        <v>290</v>
      </c>
      <c r="C8" s="18" t="s">
        <v>16</v>
      </c>
      <c r="D8" s="20"/>
      <c r="E8" s="20"/>
      <c r="F8" s="20">
        <f>F9</f>
        <v>30625</v>
      </c>
      <c r="G8" s="23"/>
    </row>
    <row r="9" spans="1:7" ht="15">
      <c r="A9" s="204">
        <v>2.1</v>
      </c>
      <c r="B9" s="19" t="s">
        <v>581</v>
      </c>
      <c r="C9" s="18" t="s">
        <v>16</v>
      </c>
      <c r="D9" s="20">
        <f>输入参数!C23*10000</f>
        <v>122500</v>
      </c>
      <c r="E9" s="20">
        <v>2500</v>
      </c>
      <c r="F9" s="20">
        <f t="shared" si="0"/>
        <v>30625</v>
      </c>
      <c r="G9" s="23"/>
    </row>
    <row r="10" spans="1:7" ht="15" customHeight="1">
      <c r="A10" s="204">
        <v>3</v>
      </c>
      <c r="B10" s="195" t="s">
        <v>294</v>
      </c>
      <c r="C10" s="18" t="s">
        <v>16</v>
      </c>
      <c r="D10" s="20"/>
      <c r="E10" s="20"/>
      <c r="F10" s="20">
        <f>F11</f>
        <v>1837.5</v>
      </c>
      <c r="G10" s="24"/>
    </row>
    <row r="11" spans="1:7" ht="15" customHeight="1">
      <c r="A11" s="204">
        <v>3.1</v>
      </c>
      <c r="B11" s="195" t="s">
        <v>295</v>
      </c>
      <c r="C11" s="195" t="s">
        <v>16</v>
      </c>
      <c r="D11" s="20">
        <f>(D9+D5)*0.03</f>
        <v>5250</v>
      </c>
      <c r="E11" s="20">
        <v>3500</v>
      </c>
      <c r="F11" s="20">
        <f t="shared" si="0"/>
        <v>1837.5</v>
      </c>
      <c r="G11" s="24"/>
    </row>
    <row r="12" spans="1:7" ht="15" customHeight="1">
      <c r="A12" s="204" t="s">
        <v>297</v>
      </c>
      <c r="B12" s="115" t="s">
        <v>296</v>
      </c>
      <c r="C12" s="115"/>
      <c r="D12" s="20"/>
      <c r="E12" s="20"/>
      <c r="F12" s="26" t="e">
        <f>F17+F13</f>
        <v>#REF!</v>
      </c>
      <c r="G12" s="24"/>
    </row>
    <row r="13" spans="1:7" ht="15" customHeight="1">
      <c r="A13" s="204">
        <v>2.1</v>
      </c>
      <c r="B13" s="115" t="s">
        <v>302</v>
      </c>
      <c r="C13" s="389" t="s">
        <v>596</v>
      </c>
      <c r="D13" s="390"/>
      <c r="E13" s="391"/>
      <c r="F13" s="20" t="e">
        <f>SUM(F14:F16)</f>
        <v>#REF!</v>
      </c>
      <c r="G13" s="24"/>
    </row>
    <row r="14" spans="1:7" ht="15" customHeight="1">
      <c r="A14" s="204" t="s">
        <v>558</v>
      </c>
      <c r="B14" s="195" t="s">
        <v>555</v>
      </c>
      <c r="C14" s="392"/>
      <c r="D14" s="393"/>
      <c r="E14" s="394"/>
      <c r="F14" s="20" t="e">
        <f>输入参数!C39</f>
        <v>#REF!</v>
      </c>
      <c r="G14" s="24"/>
    </row>
    <row r="15" spans="1:7" ht="15" customHeight="1">
      <c r="A15" s="204" t="s">
        <v>559</v>
      </c>
      <c r="B15" s="195" t="s">
        <v>556</v>
      </c>
      <c r="C15" s="392"/>
      <c r="D15" s="393"/>
      <c r="E15" s="394"/>
      <c r="F15" s="20" t="e">
        <f>输入参数!C40</f>
        <v>#REF!</v>
      </c>
      <c r="G15" s="24"/>
    </row>
    <row r="16" spans="1:7" ht="15" customHeight="1">
      <c r="A16" s="204" t="s">
        <v>560</v>
      </c>
      <c r="B16" s="195" t="s">
        <v>557</v>
      </c>
      <c r="C16" s="392"/>
      <c r="D16" s="393"/>
      <c r="E16" s="394"/>
      <c r="F16" s="20" t="e">
        <f>输入参数!C41</f>
        <v>#REF!</v>
      </c>
      <c r="G16" s="24"/>
    </row>
    <row r="17" spans="1:7" ht="15">
      <c r="A17" s="204">
        <v>2.2000000000000002</v>
      </c>
      <c r="B17" s="18" t="s">
        <v>574</v>
      </c>
      <c r="C17" s="395"/>
      <c r="D17" s="396"/>
      <c r="E17" s="397"/>
      <c r="F17" s="20" t="e">
        <f>输入参数!C42</f>
        <v>#REF!</v>
      </c>
      <c r="G17" s="25"/>
    </row>
    <row r="18" spans="1:7" ht="15">
      <c r="A18" s="203" t="s">
        <v>298</v>
      </c>
      <c r="B18" s="124" t="s">
        <v>17</v>
      </c>
      <c r="C18" s="384" t="s">
        <v>18</v>
      </c>
      <c r="D18" s="384"/>
      <c r="E18" s="384"/>
      <c r="F18" s="26" t="e">
        <f>SUM(F19:F25)+SUM(F29:F36)</f>
        <v>#REF!</v>
      </c>
      <c r="G18" s="27" t="s">
        <v>19</v>
      </c>
    </row>
    <row r="19" spans="1:7" ht="15">
      <c r="A19" s="204">
        <v>1</v>
      </c>
      <c r="B19" s="18" t="s">
        <v>20</v>
      </c>
      <c r="C19" s="385" t="e">
        <f>IF(F3&lt;=1000,"1.5%*建安费",IF(AND(F3&gt;1000,F3&lt;=5000),"15+(建安费-1000)*1.2%",IF(AND(5000&lt;F3,F3&lt;=10000),"63+(建安费-5000)*1%",IF(AND(10000&lt;F3,F3&lt;=50000),"113+(建安费-10000)*0.8%",IF(AND(50000&lt;F3,F3&lt;=100000),"433+(建安费-50000)*0.5%",IF(AND(F3&gt;100000,F3&lt;=200000),"683+(建安费-100000)*0.2%","683+(建安费-200000)*0.1%"))))))</f>
        <v>#REF!</v>
      </c>
      <c r="D19" s="385"/>
      <c r="E19" s="385"/>
      <c r="F19" s="20" t="e">
        <f>F3*1.5%</f>
        <v>#REF!</v>
      </c>
      <c r="G19" s="28" t="s">
        <v>21</v>
      </c>
    </row>
    <row r="20" spans="1:7" ht="15">
      <c r="A20" s="204">
        <v>2</v>
      </c>
      <c r="B20" s="18" t="s">
        <v>22</v>
      </c>
      <c r="C20" s="386" t="s">
        <v>23</v>
      </c>
      <c r="D20" s="387"/>
      <c r="E20" s="388"/>
      <c r="F20" s="20" t="e">
        <f>F3*1%</f>
        <v>#REF!</v>
      </c>
      <c r="G20" s="28" t="s">
        <v>24</v>
      </c>
    </row>
    <row r="21" spans="1:7" ht="15">
      <c r="A21" s="204">
        <v>3</v>
      </c>
      <c r="B21" s="18" t="s">
        <v>25</v>
      </c>
      <c r="C21" s="383"/>
      <c r="D21" s="383"/>
      <c r="E21" s="383"/>
      <c r="F21" s="20">
        <f>10269318.52/10000</f>
        <v>1026.9318519999999</v>
      </c>
      <c r="G21" s="28" t="s">
        <v>26</v>
      </c>
    </row>
    <row r="22" spans="1:7" ht="15">
      <c r="A22" s="204">
        <v>4</v>
      </c>
      <c r="B22" s="18" t="s">
        <v>27</v>
      </c>
      <c r="C22" s="383"/>
      <c r="D22" s="383"/>
      <c r="E22" s="383"/>
      <c r="F22" s="20">
        <f>D5*30/10000+D9*15/10000</f>
        <v>341.25</v>
      </c>
      <c r="G22" s="28" t="s">
        <v>28</v>
      </c>
    </row>
    <row r="23" spans="1:7" ht="15">
      <c r="A23" s="204">
        <v>5</v>
      </c>
      <c r="B23" s="18" t="s">
        <v>29</v>
      </c>
      <c r="C23" s="383" t="s">
        <v>30</v>
      </c>
      <c r="D23" s="383"/>
      <c r="E23" s="383"/>
      <c r="F23" s="20">
        <f>F22*30%</f>
        <v>102.375</v>
      </c>
      <c r="G23" s="28" t="s">
        <v>31</v>
      </c>
    </row>
    <row r="24" spans="1:7" ht="15">
      <c r="A24" s="204">
        <v>6</v>
      </c>
      <c r="B24" s="18" t="s">
        <v>4</v>
      </c>
      <c r="C24" s="383" t="s">
        <v>32</v>
      </c>
      <c r="D24" s="383"/>
      <c r="E24" s="383"/>
      <c r="F24" s="20">
        <f>(F22+F23)*6.5%</f>
        <v>28.835625</v>
      </c>
      <c r="G24" s="28" t="s">
        <v>33</v>
      </c>
    </row>
    <row r="25" spans="1:7" ht="15">
      <c r="A25" s="204">
        <v>7</v>
      </c>
      <c r="B25" s="18" t="s">
        <v>34</v>
      </c>
      <c r="C25" s="383"/>
      <c r="D25" s="383"/>
      <c r="E25" s="383"/>
      <c r="F25" s="20"/>
      <c r="G25" s="28"/>
    </row>
    <row r="26" spans="1:7" ht="15">
      <c r="A26" s="204">
        <v>7.1</v>
      </c>
      <c r="B26" s="88" t="s">
        <v>35</v>
      </c>
      <c r="C26" s="380" t="e">
        <f>IF(F3&lt;=100,"0.002*建安费",IF(AND(F3&gt;100,F3&lt;=500),"0.2+0.0018*(建安费-100)",IF(AND(500&lt;F3,F3&lt;=1000),"0.92+0.0016*(建安费-500)",IF(AND(1000&lt;F3,F3&lt;=5000),"1.72+0.0013*(建安费-1000)",IF(AND(5000&lt;F3,F3&lt;=10000),"6.92+0.0012*(建安费-5000)","12.92+0.0011*(建安费-10000)")))))</f>
        <v>#REF!</v>
      </c>
      <c r="D26" s="381"/>
      <c r="E26" s="382"/>
      <c r="F26" s="20">
        <v>36.630000000000003</v>
      </c>
      <c r="G26" s="28" t="s">
        <v>36</v>
      </c>
    </row>
    <row r="27" spans="1:7" ht="15">
      <c r="A27" s="204">
        <v>7.2</v>
      </c>
      <c r="B27" s="88" t="s">
        <v>37</v>
      </c>
      <c r="C27" s="380" t="e">
        <f>IF(F3&lt;=100,"0.0048*建安费",IF(AND(F3&gt;100,F3&lt;=500),"0.48+0.0041*(建安费-100)",IF(AND(500&lt;F3,F3&lt;=1000),"2.12+0.0038*(建安费-500)",IF(AND(1000&lt;F3,F3&lt;=5000),"4.02+0.0034*(建安费-1000)",IF(AND(5000&lt;F3,F3&lt;=10000),"17.62+0.0029*(建安费-5000)","32.12+0.0026*(建安费-10000)")))))</f>
        <v>#REF!</v>
      </c>
      <c r="D27" s="381"/>
      <c r="E27" s="382"/>
      <c r="F27" s="20" t="e">
        <f>((F3-10000)*0.11%+(10000-5000)*0.12%+(5000-1000)*0.13%+(1000-500)*0.16%+(500-100)*0.18%+(100-0)*0.2%)</f>
        <v>#REF!</v>
      </c>
      <c r="G27" s="28" t="s">
        <v>36</v>
      </c>
    </row>
    <row r="28" spans="1:7" ht="15">
      <c r="A28" s="204">
        <v>7.3</v>
      </c>
      <c r="B28" s="88" t="s">
        <v>38</v>
      </c>
      <c r="C28" s="380" t="e">
        <f>IF(F3&lt;=100,"0.0045*建安费",IF(AND(F3&gt;100,F3&lt;=500),"0.45+0.004*(建安费-100)",IF(AND(500&lt;F3,F3&lt;=1000),"2.05+0.0035*(建安费-500)",IF(AND(1000&lt;F3,F3&lt;=5000),"3.8+0.0033*(建安费-1000)",IF(AND(5000&lt;F3,F3&lt;=10000),"17+0.003*(建安费-5000)","32+0.0025*(建安费-10000)")))))</f>
        <v>#REF!</v>
      </c>
      <c r="D28" s="381"/>
      <c r="E28" s="382"/>
      <c r="F28" s="20">
        <v>218.44</v>
      </c>
      <c r="G28" s="28" t="s">
        <v>36</v>
      </c>
    </row>
    <row r="29" spans="1:7" ht="15">
      <c r="A29" s="204">
        <v>8</v>
      </c>
      <c r="B29" s="18" t="s">
        <v>39</v>
      </c>
      <c r="C29" s="383" t="s">
        <v>40</v>
      </c>
      <c r="D29" s="383"/>
      <c r="E29" s="383"/>
      <c r="F29" s="20" t="e">
        <f>F3*0.1%</f>
        <v>#REF!</v>
      </c>
      <c r="G29" s="28" t="s">
        <v>41</v>
      </c>
    </row>
    <row r="30" spans="1:7" ht="15">
      <c r="A30" s="204">
        <v>9</v>
      </c>
      <c r="B30" s="18" t="s">
        <v>42</v>
      </c>
      <c r="C30" s="383" t="s">
        <v>40</v>
      </c>
      <c r="D30" s="383"/>
      <c r="E30" s="383"/>
      <c r="F30" s="20" t="e">
        <f>F3*0.1%</f>
        <v>#REF!</v>
      </c>
      <c r="G30" s="28" t="s">
        <v>43</v>
      </c>
    </row>
    <row r="31" spans="1:7" ht="15">
      <c r="A31" s="204">
        <v>10</v>
      </c>
      <c r="B31" s="18" t="s">
        <v>44</v>
      </c>
      <c r="C31" s="383" t="e">
        <f>IF(F3&lt;3000,"7.5+(27-7.5)/3000*建安费",IF(AND(F3&gt;=3000,F3&lt;10000),"27+(60-27)/7000*(建安费-3000)",IF(AND(10000&lt;=F3,F3&lt;50000),"60+(139-60)/40000*(建安费-10000)",IF(AND(50000&lt;=F3,F3&lt;100000),"139+(200-139)/50000*(建安费-50000)",IF(AND(100000&lt;=F3,F3&lt;500000),"200+(342-200)/400000*(建安费-100000)","342+(430-342)/500000*(建安费-500000)")))))</f>
        <v>#REF!</v>
      </c>
      <c r="D31" s="383"/>
      <c r="E31" s="383"/>
      <c r="F31" s="20">
        <v>200</v>
      </c>
      <c r="G31" s="28" t="s">
        <v>45</v>
      </c>
    </row>
    <row r="32" spans="1:7" ht="15">
      <c r="A32" s="204">
        <v>11</v>
      </c>
      <c r="B32" s="18" t="s">
        <v>575</v>
      </c>
      <c r="C32" s="383" t="e">
        <f>IF(AND(F3&gt;=1000,F3&lt;5000),"1+2.8+2.75+(建安费-1000)*0.55%",IF(AND(F3&gt;=5000,F3&lt;10000),"1+2.8+2.75+14+(建安费-5000)*0.2%",IF(AND(F3&gt;=10000,F3&lt;100000),"1+2.8+2.75+14+10+(建安费-10000)*0.05%",IF(F3&gt;=100000,"1+2.8+2.75+14+10+45+(建安费-100000)*0.01%","小于200万另计"))))</f>
        <v>#REF!</v>
      </c>
      <c r="D32" s="383"/>
      <c r="E32" s="383"/>
      <c r="F32" s="20">
        <v>55.14</v>
      </c>
      <c r="G32" s="28" t="s">
        <v>46</v>
      </c>
    </row>
    <row r="33" spans="1:7" ht="15">
      <c r="A33" s="204">
        <v>12</v>
      </c>
      <c r="B33" s="18" t="s">
        <v>47</v>
      </c>
      <c r="C33" s="383" t="s">
        <v>48</v>
      </c>
      <c r="D33" s="383"/>
      <c r="E33" s="383"/>
      <c r="F33" s="20">
        <v>100</v>
      </c>
      <c r="G33" s="28" t="s">
        <v>49</v>
      </c>
    </row>
    <row r="34" spans="1:7" ht="15">
      <c r="A34" s="204">
        <v>13</v>
      </c>
      <c r="B34" s="18" t="s">
        <v>50</v>
      </c>
      <c r="C34" s="383" t="s">
        <v>40</v>
      </c>
      <c r="D34" s="383"/>
      <c r="E34" s="383"/>
      <c r="F34" s="20" t="e">
        <f>F3*0.1%</f>
        <v>#REF!</v>
      </c>
      <c r="G34" s="28" t="s">
        <v>51</v>
      </c>
    </row>
    <row r="35" spans="1:7" ht="15">
      <c r="A35" s="204">
        <v>14</v>
      </c>
      <c r="B35" s="18" t="s">
        <v>52</v>
      </c>
      <c r="C35" s="383" t="s">
        <v>53</v>
      </c>
      <c r="D35" s="383"/>
      <c r="E35" s="383"/>
      <c r="F35" s="20">
        <f>F22*8%</f>
        <v>27.3</v>
      </c>
      <c r="G35" s="28" t="s">
        <v>54</v>
      </c>
    </row>
    <row r="36" spans="1:7" ht="15">
      <c r="A36" s="204">
        <v>15</v>
      </c>
      <c r="B36" s="18" t="s">
        <v>55</v>
      </c>
      <c r="C36" s="380" t="s">
        <v>40</v>
      </c>
      <c r="D36" s="381"/>
      <c r="E36" s="382"/>
      <c r="F36" s="20" t="e">
        <f>F3*0.1%</f>
        <v>#REF!</v>
      </c>
      <c r="G36" s="28" t="s">
        <v>56</v>
      </c>
    </row>
    <row r="37" spans="1:7" ht="15">
      <c r="A37" s="203" t="s">
        <v>299</v>
      </c>
      <c r="B37" s="128" t="s">
        <v>5</v>
      </c>
      <c r="C37" s="398" t="s">
        <v>579</v>
      </c>
      <c r="D37" s="399"/>
      <c r="E37" s="400"/>
      <c r="F37" s="212" t="e">
        <f>(F3+F18+F12)*5%</f>
        <v>#REF!</v>
      </c>
      <c r="G37" s="29" t="s">
        <v>95</v>
      </c>
    </row>
    <row r="38" spans="1:7" ht="15">
      <c r="A38" s="203" t="s">
        <v>300</v>
      </c>
      <c r="B38" s="128" t="s">
        <v>578</v>
      </c>
      <c r="C38" s="125"/>
      <c r="D38" s="126"/>
      <c r="E38" s="127"/>
      <c r="F38" s="212" t="e">
        <f>输入参数!C43*30%</f>
        <v>#REF!</v>
      </c>
      <c r="G38" s="29"/>
    </row>
    <row r="39" spans="1:7" s="11" customFormat="1" ht="15">
      <c r="A39" s="203" t="s">
        <v>301</v>
      </c>
      <c r="B39" s="128" t="s">
        <v>304</v>
      </c>
      <c r="C39" s="15" t="s">
        <v>16</v>
      </c>
      <c r="D39" s="15">
        <f>(输入参数!C20*输入参数!C4*输入参数!C5)*10000</f>
        <v>20999.999999999996</v>
      </c>
      <c r="E39" s="26">
        <f>输入参数!C24</f>
        <v>5000</v>
      </c>
      <c r="F39" s="212">
        <f>D39*E39/10000</f>
        <v>10499.999999999998</v>
      </c>
      <c r="G39" s="30"/>
    </row>
    <row r="40" spans="1:7" ht="15">
      <c r="A40" s="203" t="s">
        <v>457</v>
      </c>
      <c r="B40" s="128" t="s">
        <v>90</v>
      </c>
      <c r="C40" s="398" t="s">
        <v>580</v>
      </c>
      <c r="D40" s="399"/>
      <c r="E40" s="400"/>
      <c r="F40" s="212" t="e">
        <f>F3+F12+F18+F37+F38+F39</f>
        <v>#REF!</v>
      </c>
      <c r="G40" s="32"/>
    </row>
  </sheetData>
  <mergeCells count="23">
    <mergeCell ref="C30:E30"/>
    <mergeCell ref="C37:E37"/>
    <mergeCell ref="C40:E40"/>
    <mergeCell ref="C23:E23"/>
    <mergeCell ref="C24:E24"/>
    <mergeCell ref="C25:E25"/>
    <mergeCell ref="C26:E26"/>
    <mergeCell ref="C27:E27"/>
    <mergeCell ref="C36:E36"/>
    <mergeCell ref="C31:E31"/>
    <mergeCell ref="C32:E32"/>
    <mergeCell ref="C33:E33"/>
    <mergeCell ref="C34:E34"/>
    <mergeCell ref="C35:E35"/>
    <mergeCell ref="A1:G1"/>
    <mergeCell ref="C28:E28"/>
    <mergeCell ref="C29:E29"/>
    <mergeCell ref="C18:E18"/>
    <mergeCell ref="C19:E19"/>
    <mergeCell ref="C20:E20"/>
    <mergeCell ref="C21:E21"/>
    <mergeCell ref="C22:E22"/>
    <mergeCell ref="C13:E17"/>
  </mergeCells>
  <phoneticPr fontId="7" type="noConversion"/>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W17"/>
  <sheetViews>
    <sheetView zoomScale="85" zoomScaleNormal="85" workbookViewId="0">
      <selection activeCell="F38" sqref="F38"/>
    </sheetView>
  </sheetViews>
  <sheetFormatPr defaultRowHeight="12.5"/>
  <cols>
    <col min="1" max="1" width="11.1796875" customWidth="1"/>
    <col min="2" max="2" width="35.1796875" customWidth="1"/>
    <col min="3" max="3" width="14.81640625" customWidth="1"/>
    <col min="4" max="4" width="8.81640625" bestFit="1" customWidth="1"/>
    <col min="5" max="5" width="8.81640625" customWidth="1"/>
    <col min="6" max="7" width="13.54296875" bestFit="1" customWidth="1"/>
    <col min="8" max="23" width="11.1796875" bestFit="1" customWidth="1"/>
  </cols>
  <sheetData>
    <row r="1" spans="1:23" ht="21">
      <c r="A1" s="401" t="s">
        <v>535</v>
      </c>
      <c r="B1" s="402"/>
      <c r="C1" s="402"/>
      <c r="D1" s="402"/>
      <c r="E1" s="402"/>
      <c r="F1" s="402"/>
      <c r="G1" s="402"/>
      <c r="H1" s="402"/>
      <c r="I1" s="402"/>
      <c r="J1" s="402"/>
      <c r="K1" s="402"/>
      <c r="L1" s="402"/>
      <c r="M1" s="402"/>
      <c r="N1" s="402"/>
      <c r="O1" s="402"/>
      <c r="P1" s="402"/>
      <c r="Q1" s="402"/>
      <c r="R1" s="402"/>
      <c r="S1" s="402"/>
      <c r="T1" s="402"/>
      <c r="U1" s="402"/>
      <c r="V1" s="402"/>
      <c r="W1" s="403"/>
    </row>
    <row r="2" spans="1:23" ht="15">
      <c r="A2" s="33" t="s">
        <v>0</v>
      </c>
      <c r="B2" s="33" t="s">
        <v>6</v>
      </c>
      <c r="C2" s="33" t="s">
        <v>75</v>
      </c>
      <c r="D2" s="33">
        <v>1</v>
      </c>
      <c r="E2" s="33">
        <v>2</v>
      </c>
      <c r="F2" s="33">
        <v>3</v>
      </c>
      <c r="G2" s="33">
        <v>4</v>
      </c>
      <c r="H2" s="33">
        <v>5</v>
      </c>
      <c r="I2" s="33">
        <v>6</v>
      </c>
      <c r="J2" s="33">
        <v>7</v>
      </c>
      <c r="K2" s="33">
        <v>8</v>
      </c>
      <c r="L2" s="33">
        <v>9</v>
      </c>
      <c r="M2" s="33">
        <v>10</v>
      </c>
      <c r="N2" s="33">
        <v>11</v>
      </c>
      <c r="O2" s="33">
        <v>12</v>
      </c>
      <c r="P2" s="33">
        <v>13</v>
      </c>
      <c r="Q2" s="33">
        <v>14</v>
      </c>
      <c r="R2" s="33">
        <v>15</v>
      </c>
      <c r="S2" s="33">
        <v>16</v>
      </c>
      <c r="T2" s="33">
        <v>17</v>
      </c>
      <c r="U2" s="33">
        <v>18</v>
      </c>
      <c r="V2" s="33">
        <v>19</v>
      </c>
      <c r="W2" s="33">
        <v>20</v>
      </c>
    </row>
    <row r="3" spans="1:23" ht="15">
      <c r="A3" s="33"/>
      <c r="B3" s="33"/>
      <c r="C3" s="209" t="s">
        <v>76</v>
      </c>
      <c r="D3" s="209">
        <v>2021</v>
      </c>
      <c r="E3" s="209">
        <v>2022</v>
      </c>
      <c r="F3" s="209">
        <v>2023</v>
      </c>
      <c r="G3" s="209">
        <v>2024</v>
      </c>
      <c r="H3" s="209">
        <v>2025</v>
      </c>
      <c r="I3" s="209">
        <v>2026</v>
      </c>
      <c r="J3" s="209">
        <v>2027</v>
      </c>
      <c r="K3" s="209">
        <v>2028</v>
      </c>
      <c r="L3" s="209">
        <v>2029</v>
      </c>
      <c r="M3" s="209">
        <v>2030</v>
      </c>
      <c r="N3" s="209">
        <v>2031</v>
      </c>
      <c r="O3" s="209">
        <v>2032</v>
      </c>
      <c r="P3" s="209">
        <v>2033</v>
      </c>
      <c r="Q3" s="209">
        <v>2034</v>
      </c>
      <c r="R3" s="209">
        <v>2035</v>
      </c>
      <c r="S3" s="209">
        <v>2036</v>
      </c>
      <c r="T3" s="209">
        <v>2037</v>
      </c>
      <c r="U3" s="209">
        <v>2038</v>
      </c>
      <c r="V3" s="209">
        <v>2039</v>
      </c>
      <c r="W3" s="209">
        <v>2040</v>
      </c>
    </row>
    <row r="4" spans="1:23" s="11" customFormat="1" ht="15">
      <c r="A4" s="33" t="s">
        <v>97</v>
      </c>
      <c r="B4" s="164" t="s">
        <v>531</v>
      </c>
      <c r="C4" s="78" t="e">
        <f t="shared" ref="C4:W4" si="0">SUM(C5:C6)</f>
        <v>#REF!</v>
      </c>
      <c r="D4" s="78" t="e">
        <f t="shared" si="0"/>
        <v>#REF!</v>
      </c>
      <c r="E4" s="78" t="e">
        <f t="shared" si="0"/>
        <v>#REF!</v>
      </c>
      <c r="F4" s="78" t="e">
        <f t="shared" si="0"/>
        <v>#REF!</v>
      </c>
      <c r="G4" s="78" t="e">
        <f t="shared" si="0"/>
        <v>#REF!</v>
      </c>
      <c r="H4" s="78" t="e">
        <f t="shared" si="0"/>
        <v>#REF!</v>
      </c>
      <c r="I4" s="78" t="e">
        <f t="shared" si="0"/>
        <v>#REF!</v>
      </c>
      <c r="J4" s="78" t="e">
        <f t="shared" si="0"/>
        <v>#REF!</v>
      </c>
      <c r="K4" s="78" t="e">
        <f t="shared" si="0"/>
        <v>#REF!</v>
      </c>
      <c r="L4" s="78" t="e">
        <f t="shared" si="0"/>
        <v>#REF!</v>
      </c>
      <c r="M4" s="78" t="e">
        <f t="shared" si="0"/>
        <v>#REF!</v>
      </c>
      <c r="N4" s="78" t="e">
        <f t="shared" si="0"/>
        <v>#REF!</v>
      </c>
      <c r="O4" s="78" t="e">
        <f t="shared" si="0"/>
        <v>#REF!</v>
      </c>
      <c r="P4" s="78" t="e">
        <f t="shared" si="0"/>
        <v>#REF!</v>
      </c>
      <c r="Q4" s="78" t="e">
        <f t="shared" si="0"/>
        <v>#REF!</v>
      </c>
      <c r="R4" s="78" t="e">
        <f t="shared" si="0"/>
        <v>#REF!</v>
      </c>
      <c r="S4" s="78" t="e">
        <f t="shared" si="0"/>
        <v>#REF!</v>
      </c>
      <c r="T4" s="78" t="e">
        <f t="shared" si="0"/>
        <v>#REF!</v>
      </c>
      <c r="U4" s="78" t="e">
        <f t="shared" si="0"/>
        <v>#REF!</v>
      </c>
      <c r="V4" s="78" t="e">
        <f t="shared" si="0"/>
        <v>#REF!</v>
      </c>
      <c r="W4" s="78" t="e">
        <f t="shared" si="0"/>
        <v>#REF!</v>
      </c>
    </row>
    <row r="5" spans="1:23" s="11" customFormat="1" ht="16.5" customHeight="1">
      <c r="A5" s="33">
        <v>1</v>
      </c>
      <c r="B5" s="164" t="s">
        <v>143</v>
      </c>
      <c r="C5" s="78" t="e">
        <f t="shared" ref="C5" si="1">SUM(D5:W5)</f>
        <v>#REF!</v>
      </c>
      <c r="D5" s="78" t="e">
        <f>营收预测!B9</f>
        <v>#REF!</v>
      </c>
      <c r="E5" s="78" t="e">
        <f>营收预测!C9</f>
        <v>#REF!</v>
      </c>
      <c r="F5" s="78" t="e">
        <f>营收预测!D9</f>
        <v>#REF!</v>
      </c>
      <c r="G5" s="78" t="e">
        <f>营收预测!E9</f>
        <v>#REF!</v>
      </c>
      <c r="H5" s="78" t="e">
        <f>营收预测!F9</f>
        <v>#REF!</v>
      </c>
      <c r="I5" s="78" t="e">
        <f>营收预测!G9</f>
        <v>#REF!</v>
      </c>
      <c r="J5" s="78" t="e">
        <f>营收预测!H9</f>
        <v>#REF!</v>
      </c>
      <c r="K5" s="78" t="e">
        <f>营收预测!I9</f>
        <v>#REF!</v>
      </c>
      <c r="L5" s="78" t="e">
        <f>营收预测!J9</f>
        <v>#REF!</v>
      </c>
      <c r="M5" s="78" t="e">
        <f>营收预测!K9</f>
        <v>#REF!</v>
      </c>
      <c r="N5" s="78" t="e">
        <f>营收预测!L9</f>
        <v>#REF!</v>
      </c>
      <c r="O5" s="78" t="e">
        <f>营收预测!M9</f>
        <v>#REF!</v>
      </c>
      <c r="P5" s="78" t="e">
        <f>营收预测!N9</f>
        <v>#REF!</v>
      </c>
      <c r="Q5" s="78" t="e">
        <f>营收预测!O9</f>
        <v>#REF!</v>
      </c>
      <c r="R5" s="78" t="e">
        <f>营收预测!P9</f>
        <v>#REF!</v>
      </c>
      <c r="S5" s="78" t="e">
        <f>营收预测!Q9</f>
        <v>#REF!</v>
      </c>
      <c r="T5" s="78" t="e">
        <f>营收预测!R9</f>
        <v>#REF!</v>
      </c>
      <c r="U5" s="78" t="e">
        <f>营收预测!S9</f>
        <v>#REF!</v>
      </c>
      <c r="V5" s="78" t="e">
        <f>营收预测!T9</f>
        <v>#REF!</v>
      </c>
      <c r="W5" s="78" t="e">
        <f>营收预测!U9</f>
        <v>#REF!</v>
      </c>
    </row>
    <row r="6" spans="1:23" ht="16.5" customHeight="1">
      <c r="A6" s="33">
        <v>2</v>
      </c>
      <c r="B6" s="164" t="s">
        <v>511</v>
      </c>
      <c r="C6" s="78">
        <f>SUM(D6:W6)</f>
        <v>6844.8629039193338</v>
      </c>
      <c r="D6" s="77">
        <f>SUM(D7:D10)</f>
        <v>74.150461349337931</v>
      </c>
      <c r="E6" s="77">
        <f t="shared" ref="E6:W6" si="2">SUM(E7:E10)</f>
        <v>154.63080576204996</v>
      </c>
      <c r="F6" s="77">
        <f t="shared" si="2"/>
        <v>204.36225799014798</v>
      </c>
      <c r="G6" s="77">
        <f t="shared" si="2"/>
        <v>281.25786120404803</v>
      </c>
      <c r="H6" s="77">
        <f t="shared" si="2"/>
        <v>267.91225504183103</v>
      </c>
      <c r="I6" s="77">
        <f t="shared" si="2"/>
        <v>279.19923540655793</v>
      </c>
      <c r="J6" s="77">
        <f t="shared" si="2"/>
        <v>291.14712204806875</v>
      </c>
      <c r="K6" s="77">
        <f t="shared" si="2"/>
        <v>303.80775868881074</v>
      </c>
      <c r="L6" s="77">
        <f t="shared" si="2"/>
        <v>317.23772896412385</v>
      </c>
      <c r="M6" s="77">
        <f t="shared" si="2"/>
        <v>331.49881571557364</v>
      </c>
      <c r="N6" s="77">
        <f t="shared" si="2"/>
        <v>346.65850566354487</v>
      </c>
      <c r="O6" s="77">
        <f t="shared" si="2"/>
        <v>362.79054397178891</v>
      </c>
      <c r="P6" s="77">
        <f t="shared" si="2"/>
        <v>379.9755436664322</v>
      </c>
      <c r="Q6" s="77">
        <f t="shared" si="2"/>
        <v>398.30165536664714</v>
      </c>
      <c r="R6" s="77">
        <f t="shared" si="2"/>
        <v>417.8653033282489</v>
      </c>
      <c r="S6" s="77">
        <f t="shared" si="2"/>
        <v>438.77199439982576</v>
      </c>
      <c r="T6" s="77">
        <f t="shared" si="2"/>
        <v>461.13720714907504</v>
      </c>
      <c r="U6" s="77">
        <f t="shared" si="2"/>
        <v>485.08736914074763</v>
      </c>
      <c r="V6" s="77">
        <f t="shared" si="2"/>
        <v>510.76093114356837</v>
      </c>
      <c r="W6" s="77">
        <f t="shared" si="2"/>
        <v>538.30954791890576</v>
      </c>
    </row>
    <row r="7" spans="1:23" ht="15">
      <c r="A7" s="33">
        <v>2.1</v>
      </c>
      <c r="B7" s="164" t="str">
        <f>营收预测!A15</f>
        <v>第三方支付</v>
      </c>
      <c r="C7" s="78">
        <f t="shared" ref="C7:C17" si="3">SUM(D7:W7)</f>
        <v>94.485515157277575</v>
      </c>
      <c r="D7" s="78">
        <f>营收预测!B21</f>
        <v>1.305611724137931</v>
      </c>
      <c r="E7" s="78">
        <f>营收预测!C21</f>
        <v>2.820121324137931</v>
      </c>
      <c r="F7" s="78">
        <f>营收预测!D21</f>
        <v>3.807163787586207</v>
      </c>
      <c r="G7" s="78">
        <f>营收预测!E21</f>
        <v>5.7564316468303449</v>
      </c>
      <c r="H7" s="78">
        <f>营收预测!F21</f>
        <v>2.6644055051043312</v>
      </c>
      <c r="I7" s="78">
        <f>营收预测!G21</f>
        <v>2.8775579455126774</v>
      </c>
      <c r="J7" s="78">
        <f>营收预测!H21</f>
        <v>3.107762581153692</v>
      </c>
      <c r="K7" s="78">
        <f>营收预测!I21</f>
        <v>3.3563835876459875</v>
      </c>
      <c r="L7" s="78">
        <f>营收预测!J21</f>
        <v>3.6248942746576667</v>
      </c>
      <c r="M7" s="78">
        <f>营收预测!K21</f>
        <v>3.9148858166302807</v>
      </c>
      <c r="N7" s="78">
        <f>营收预测!L21</f>
        <v>4.2280766819607027</v>
      </c>
      <c r="O7" s="78">
        <f>营收预测!M21</f>
        <v>4.5663228165175598</v>
      </c>
      <c r="P7" s="78">
        <f>营收预测!N21</f>
        <v>4.931628641838965</v>
      </c>
      <c r="Q7" s="78">
        <f>营收预测!O21</f>
        <v>5.3261589331860826</v>
      </c>
      <c r="R7" s="78">
        <f>营收预测!P21</f>
        <v>5.7522516478409695</v>
      </c>
      <c r="S7" s="78">
        <f>营收预测!Q21</f>
        <v>6.2124317796682487</v>
      </c>
      <c r="T7" s="78">
        <f>营收预测!R21</f>
        <v>6.7094263220417076</v>
      </c>
      <c r="U7" s="78">
        <f>营收预测!S21</f>
        <v>7.2461804278050446</v>
      </c>
      <c r="V7" s="78">
        <f>营收预测!T21</f>
        <v>7.8258748620294494</v>
      </c>
      <c r="W7" s="78">
        <f>营收预测!U21</f>
        <v>8.451944850991806</v>
      </c>
    </row>
    <row r="8" spans="1:23" ht="15">
      <c r="A8" s="33">
        <v>2.2000000000000002</v>
      </c>
      <c r="B8" s="164" t="str">
        <f>营收预测!A23</f>
        <v>消费金融</v>
      </c>
      <c r="C8" s="78">
        <f t="shared" si="3"/>
        <v>1571.0065798973174</v>
      </c>
      <c r="D8" s="78">
        <f>营收预测!B29</f>
        <v>8.0522115000000003</v>
      </c>
      <c r="E8" s="78">
        <f>营收预测!C29</f>
        <v>17.714865300000003</v>
      </c>
      <c r="F8" s="78">
        <f>营收预测!D29</f>
        <v>24.357939787500005</v>
      </c>
      <c r="G8" s="78">
        <f>营收预测!E29</f>
        <v>37.511227272750006</v>
      </c>
      <c r="H8" s="78">
        <f>营收预测!F29</f>
        <v>41.262350000025016</v>
      </c>
      <c r="I8" s="78">
        <f>营收预测!G29</f>
        <v>45.388585000027518</v>
      </c>
      <c r="J8" s="78">
        <f>营收预测!H29</f>
        <v>49.927443500030279</v>
      </c>
      <c r="K8" s="78">
        <f>营收预测!I29</f>
        <v>54.920187850033315</v>
      </c>
      <c r="L8" s="78">
        <f>营收预测!J29</f>
        <v>60.41220663503664</v>
      </c>
      <c r="M8" s="78">
        <f>营收预测!K29</f>
        <v>66.453427298540319</v>
      </c>
      <c r="N8" s="78">
        <f>营收预测!L29</f>
        <v>73.098770028394355</v>
      </c>
      <c r="O8" s="78">
        <f>营收预测!M29</f>
        <v>80.408647031233798</v>
      </c>
      <c r="P8" s="78">
        <f>营收预测!N29</f>
        <v>88.449511734357202</v>
      </c>
      <c r="Q8" s="78">
        <f>营收预测!O29</f>
        <v>97.294462907792919</v>
      </c>
      <c r="R8" s="78">
        <f>营收预测!P29</f>
        <v>107.02390919857221</v>
      </c>
      <c r="S8" s="78">
        <f>营收预测!Q29</f>
        <v>117.72630011842944</v>
      </c>
      <c r="T8" s="78">
        <f>营收预测!R29</f>
        <v>129.49893013027241</v>
      </c>
      <c r="U8" s="78">
        <f>营收预测!S29</f>
        <v>142.44882314329965</v>
      </c>
      <c r="V8" s="78">
        <f>营收预测!T29</f>
        <v>156.69370545762962</v>
      </c>
      <c r="W8" s="78">
        <f>营收预测!U29</f>
        <v>172.36307600339262</v>
      </c>
    </row>
    <row r="9" spans="1:23" ht="15">
      <c r="A9" s="33">
        <v>2.2999999999999998</v>
      </c>
      <c r="B9" s="164" t="str">
        <f>营收预测!A31</f>
        <v>金融租赁</v>
      </c>
      <c r="C9" s="78">
        <f t="shared" si="3"/>
        <v>5008.1790918022161</v>
      </c>
      <c r="D9" s="78">
        <f>营收预测!B37</f>
        <v>60.342748125200011</v>
      </c>
      <c r="E9" s="78">
        <f>营收预测!C37</f>
        <v>124.30606113791202</v>
      </c>
      <c r="F9" s="78">
        <f>营收预测!D37</f>
        <v>160.04405371506175</v>
      </c>
      <c r="G9" s="78">
        <f>营收预测!E37</f>
        <v>214.29898792446767</v>
      </c>
      <c r="H9" s="78">
        <f>营收预测!F37</f>
        <v>220.72795756220168</v>
      </c>
      <c r="I9" s="78">
        <f>营收预测!G37</f>
        <v>227.34979628906771</v>
      </c>
      <c r="J9" s="78">
        <f>营收预测!H37</f>
        <v>234.17029017773976</v>
      </c>
      <c r="K9" s="78">
        <f>营收预测!I37</f>
        <v>241.19539888307193</v>
      </c>
      <c r="L9" s="78">
        <f>营收预测!J37</f>
        <v>248.4312608495641</v>
      </c>
      <c r="M9" s="78">
        <f>营收预测!K37</f>
        <v>255.88419867505104</v>
      </c>
      <c r="N9" s="78">
        <f>营收预测!L37</f>
        <v>263.56072463530256</v>
      </c>
      <c r="O9" s="78">
        <f>营收预测!M37</f>
        <v>271.46754637436163</v>
      </c>
      <c r="P9" s="78">
        <f>营收预测!N37</f>
        <v>279.61157276559248</v>
      </c>
      <c r="Q9" s="78">
        <f>营收预测!O37</f>
        <v>287.99991994856026</v>
      </c>
      <c r="R9" s="78">
        <f>营收预测!P37</f>
        <v>296.63991754701709</v>
      </c>
      <c r="S9" s="78">
        <f>营收预测!Q37</f>
        <v>305.53911507342758</v>
      </c>
      <c r="T9" s="78">
        <f>营收预测!R37</f>
        <v>314.70528852563041</v>
      </c>
      <c r="U9" s="78">
        <f>营收预测!S37</f>
        <v>324.14644718139931</v>
      </c>
      <c r="V9" s="78">
        <f>营收预测!T37</f>
        <v>333.87084059684133</v>
      </c>
      <c r="W9" s="78">
        <f>营收预测!U37</f>
        <v>343.88696581474659</v>
      </c>
    </row>
    <row r="10" spans="1:23" ht="15">
      <c r="A10" s="33">
        <v>2.4</v>
      </c>
      <c r="B10" s="164" t="str">
        <f>营收预测!A39</f>
        <v>金融信息服务</v>
      </c>
      <c r="C10" s="78">
        <f t="shared" si="3"/>
        <v>171.1917170625226</v>
      </c>
      <c r="D10" s="78">
        <f>营收预测!B45</f>
        <v>4.4498899999999999</v>
      </c>
      <c r="E10" s="78">
        <f>营收预测!C45</f>
        <v>9.7897580000000008</v>
      </c>
      <c r="F10" s="78">
        <f>营收预测!D45</f>
        <v>16.153100700000003</v>
      </c>
      <c r="G10" s="78">
        <f>营收预测!E45</f>
        <v>23.691214360000004</v>
      </c>
      <c r="H10" s="78">
        <f>营收预测!F45</f>
        <v>3.2575419745000009</v>
      </c>
      <c r="I10" s="78">
        <f>营收预测!G45</f>
        <v>3.5832961719500012</v>
      </c>
      <c r="J10" s="78">
        <f>营收预测!H45</f>
        <v>3.9416257891450015</v>
      </c>
      <c r="K10" s="78">
        <f>营收预测!I45</f>
        <v>4.335788368059502</v>
      </c>
      <c r="L10" s="78">
        <f>营收预测!J45</f>
        <v>4.7693672048654525</v>
      </c>
      <c r="M10" s="78">
        <f>营收预测!K45</f>
        <v>5.2463039253519979</v>
      </c>
      <c r="N10" s="78">
        <f>营收预测!L45</f>
        <v>5.7709343178871979</v>
      </c>
      <c r="O10" s="78">
        <f>营收预测!M45</f>
        <v>6.3480277496759179</v>
      </c>
      <c r="P10" s="78">
        <f>营收预测!N45</f>
        <v>6.9828305246435098</v>
      </c>
      <c r="Q10" s="78">
        <f>营收预测!O45</f>
        <v>7.6811135771078618</v>
      </c>
      <c r="R10" s="78">
        <f>营收预测!P45</f>
        <v>8.4492249348186483</v>
      </c>
      <c r="S10" s="78">
        <f>营收预测!Q45</f>
        <v>9.2941474283005139</v>
      </c>
      <c r="T10" s="78">
        <f>营收预测!R45</f>
        <v>10.223562171130567</v>
      </c>
      <c r="U10" s="78">
        <f>营收预测!S45</f>
        <v>11.245918388243625</v>
      </c>
      <c r="V10" s="78">
        <f>营收预测!T45</f>
        <v>12.370510227067989</v>
      </c>
      <c r="W10" s="78">
        <f>营收预测!U45</f>
        <v>13.607561249774788</v>
      </c>
    </row>
    <row r="11" spans="1:23" ht="15">
      <c r="A11" s="33" t="s">
        <v>529</v>
      </c>
      <c r="B11" s="164" t="s">
        <v>530</v>
      </c>
      <c r="C11" s="78" t="e">
        <f t="shared" si="3"/>
        <v>#REF!</v>
      </c>
      <c r="D11" s="78" t="e">
        <f>SUM(D12:D13)</f>
        <v>#REF!</v>
      </c>
      <c r="E11" s="78" t="e">
        <f t="shared" ref="E11:W11" si="4">SUM(E12:E13)</f>
        <v>#REF!</v>
      </c>
      <c r="F11" s="78" t="e">
        <f t="shared" si="4"/>
        <v>#REF!</v>
      </c>
      <c r="G11" s="78" t="e">
        <f t="shared" si="4"/>
        <v>#REF!</v>
      </c>
      <c r="H11" s="78" t="e">
        <f t="shared" si="4"/>
        <v>#REF!</v>
      </c>
      <c r="I11" s="78" t="e">
        <f t="shared" si="4"/>
        <v>#REF!</v>
      </c>
      <c r="J11" s="78" t="e">
        <f t="shared" si="4"/>
        <v>#REF!</v>
      </c>
      <c r="K11" s="78" t="e">
        <f t="shared" si="4"/>
        <v>#REF!</v>
      </c>
      <c r="L11" s="78" t="e">
        <f t="shared" si="4"/>
        <v>#REF!</v>
      </c>
      <c r="M11" s="78" t="e">
        <f t="shared" si="4"/>
        <v>#REF!</v>
      </c>
      <c r="N11" s="78" t="e">
        <f t="shared" si="4"/>
        <v>#REF!</v>
      </c>
      <c r="O11" s="78" t="e">
        <f t="shared" si="4"/>
        <v>#REF!</v>
      </c>
      <c r="P11" s="78" t="e">
        <f t="shared" si="4"/>
        <v>#REF!</v>
      </c>
      <c r="Q11" s="78" t="e">
        <f t="shared" si="4"/>
        <v>#REF!</v>
      </c>
      <c r="R11" s="78" t="e">
        <f t="shared" si="4"/>
        <v>#REF!</v>
      </c>
      <c r="S11" s="78" t="e">
        <f t="shared" si="4"/>
        <v>#REF!</v>
      </c>
      <c r="T11" s="78" t="e">
        <f t="shared" si="4"/>
        <v>#REF!</v>
      </c>
      <c r="U11" s="78" t="e">
        <f t="shared" si="4"/>
        <v>#REF!</v>
      </c>
      <c r="V11" s="78" t="e">
        <f t="shared" si="4"/>
        <v>#REF!</v>
      </c>
      <c r="W11" s="78" t="e">
        <f t="shared" si="4"/>
        <v>#REF!</v>
      </c>
    </row>
    <row r="12" spans="1:23" ht="15">
      <c r="A12" s="33">
        <v>1</v>
      </c>
      <c r="B12" s="164" t="s">
        <v>143</v>
      </c>
      <c r="C12" s="78" t="e">
        <f t="shared" si="3"/>
        <v>#REF!</v>
      </c>
      <c r="D12" s="78" t="e">
        <f>成本预测!B4</f>
        <v>#REF!</v>
      </c>
      <c r="E12" s="78" t="e">
        <f>成本预测!C4</f>
        <v>#REF!</v>
      </c>
      <c r="F12" s="78" t="e">
        <f>成本预测!D4</f>
        <v>#REF!</v>
      </c>
      <c r="G12" s="78" t="e">
        <f>成本预测!E4</f>
        <v>#REF!</v>
      </c>
      <c r="H12" s="78" t="e">
        <f>成本预测!F4</f>
        <v>#REF!</v>
      </c>
      <c r="I12" s="78" t="e">
        <f>成本预测!G4</f>
        <v>#REF!</v>
      </c>
      <c r="J12" s="78" t="e">
        <f>成本预测!H4</f>
        <v>#REF!</v>
      </c>
      <c r="K12" s="78" t="e">
        <f>成本预测!I4</f>
        <v>#REF!</v>
      </c>
      <c r="L12" s="78" t="e">
        <f>成本预测!J4</f>
        <v>#REF!</v>
      </c>
      <c r="M12" s="78" t="e">
        <f>成本预测!K4</f>
        <v>#REF!</v>
      </c>
      <c r="N12" s="78" t="e">
        <f>成本预测!L4</f>
        <v>#REF!</v>
      </c>
      <c r="O12" s="78" t="e">
        <f>成本预测!M4</f>
        <v>#REF!</v>
      </c>
      <c r="P12" s="78" t="e">
        <f>成本预测!N4</f>
        <v>#REF!</v>
      </c>
      <c r="Q12" s="78" t="e">
        <f>成本预测!O4</f>
        <v>#REF!</v>
      </c>
      <c r="R12" s="78" t="e">
        <f>成本预测!P4</f>
        <v>#REF!</v>
      </c>
      <c r="S12" s="78" t="e">
        <f>成本预测!Q4</f>
        <v>#REF!</v>
      </c>
      <c r="T12" s="78" t="e">
        <f>成本预测!R4</f>
        <v>#REF!</v>
      </c>
      <c r="U12" s="78" t="e">
        <f>成本预测!S4</f>
        <v>#REF!</v>
      </c>
      <c r="V12" s="78" t="e">
        <f>成本预测!T4</f>
        <v>#REF!</v>
      </c>
      <c r="W12" s="78" t="e">
        <f>成本预测!U4</f>
        <v>#REF!</v>
      </c>
    </row>
    <row r="13" spans="1:23" ht="15">
      <c r="A13" s="33">
        <v>2</v>
      </c>
      <c r="B13" s="164" t="s">
        <v>511</v>
      </c>
      <c r="C13" s="78">
        <f t="shared" si="3"/>
        <v>82.107259062814933</v>
      </c>
      <c r="D13" s="78">
        <f>SUM(D14:D17)</f>
        <v>0.69492951178045981</v>
      </c>
      <c r="E13" s="78">
        <f t="shared" ref="E13:W13" si="5">SUM(E14:E17)</f>
        <v>1.5087794078897934</v>
      </c>
      <c r="F13" s="78">
        <f t="shared" si="5"/>
        <v>2.1917486930817214</v>
      </c>
      <c r="G13" s="78">
        <f t="shared" si="5"/>
        <v>3.2362523655491851</v>
      </c>
      <c r="H13" s="78">
        <f t="shared" si="5"/>
        <v>2.3013862365133195</v>
      </c>
      <c r="I13" s="78">
        <f t="shared" si="5"/>
        <v>2.4949614392519566</v>
      </c>
      <c r="J13" s="78">
        <f t="shared" si="5"/>
        <v>2.7067887136415685</v>
      </c>
      <c r="K13" s="78">
        <f t="shared" si="5"/>
        <v>2.9386594197089249</v>
      </c>
      <c r="L13" s="78">
        <f t="shared" si="5"/>
        <v>3.1925429833749508</v>
      </c>
      <c r="M13" s="78">
        <f t="shared" si="5"/>
        <v>3.4706046665653396</v>
      </c>
      <c r="N13" s="78">
        <f t="shared" si="5"/>
        <v>3.7752251128878132</v>
      </c>
      <c r="O13" s="78">
        <f t="shared" si="5"/>
        <v>4.109021846361367</v>
      </c>
      <c r="P13" s="78">
        <f t="shared" si="5"/>
        <v>4.4748729184269829</v>
      </c>
      <c r="Q13" s="78">
        <f t="shared" si="5"/>
        <v>4.8759429179875404</v>
      </c>
      <c r="R13" s="78">
        <f t="shared" si="5"/>
        <v>5.3157115806944262</v>
      </c>
      <c r="S13" s="78">
        <f t="shared" si="5"/>
        <v>5.7980052573146796</v>
      </c>
      <c r="T13" s="78">
        <f t="shared" si="5"/>
        <v>6.3270315269901536</v>
      </c>
      <c r="U13" s="78">
        <f t="shared" si="5"/>
        <v>6.9074172697750962</v>
      </c>
      <c r="V13" s="78">
        <f t="shared" si="5"/>
        <v>7.5442505442706045</v>
      </c>
      <c r="W13" s="78">
        <f t="shared" si="5"/>
        <v>8.2431266507490548</v>
      </c>
    </row>
    <row r="14" spans="1:23" ht="15">
      <c r="A14" s="33">
        <v>2.1</v>
      </c>
      <c r="B14" s="164" t="s">
        <v>532</v>
      </c>
      <c r="C14" s="78">
        <f t="shared" si="3"/>
        <v>0.30305927030081664</v>
      </c>
      <c r="D14" s="210">
        <f>成本预测!B15</f>
        <v>4.1877078804597699E-3</v>
      </c>
      <c r="E14" s="210">
        <f>成本预测!C15</f>
        <v>9.0454490217931043E-3</v>
      </c>
      <c r="F14" s="210">
        <f>成本预测!D15</f>
        <v>1.2211356179420691E-2</v>
      </c>
      <c r="G14" s="210">
        <f>成本预测!E15</f>
        <v>1.8463570543284083E-2</v>
      </c>
      <c r="H14" s="210">
        <f>成本预测!F15</f>
        <v>8.5459955086057762E-3</v>
      </c>
      <c r="I14" s="210">
        <f>成本预测!G15</f>
        <v>9.2296751492942381E-3</v>
      </c>
      <c r="J14" s="210">
        <f>成本预测!H15</f>
        <v>9.968049161237778E-3</v>
      </c>
      <c r="K14" s="210">
        <f>成本预测!I15</f>
        <v>1.07654930941368E-2</v>
      </c>
      <c r="L14" s="210">
        <f>成本预测!J15</f>
        <v>1.1626732541667746E-2</v>
      </c>
      <c r="M14" s="210">
        <f>成本预测!K15</f>
        <v>1.2556871145001166E-2</v>
      </c>
      <c r="N14" s="210">
        <f>成本预测!L15</f>
        <v>1.356142083660126E-2</v>
      </c>
      <c r="O14" s="210">
        <f>成本预测!M15</f>
        <v>1.4646334503529363E-2</v>
      </c>
      <c r="P14" s="210">
        <f>成本预测!N15</f>
        <v>1.5818041263811713E-2</v>
      </c>
      <c r="Q14" s="210">
        <f>成本预测!O15</f>
        <v>1.7083484564916651E-2</v>
      </c>
      <c r="R14" s="210">
        <f>成本预测!P15</f>
        <v>1.8450163330109983E-2</v>
      </c>
      <c r="S14" s="210">
        <f>成本预测!Q15</f>
        <v>1.9926176396518787E-2</v>
      </c>
      <c r="T14" s="210">
        <f>成本预测!R15</f>
        <v>2.1520270508240288E-2</v>
      </c>
      <c r="U14" s="210">
        <f>成本预测!S15</f>
        <v>2.3241892148899511E-2</v>
      </c>
      <c r="V14" s="210">
        <f>成本预测!T15</f>
        <v>2.5101243520811476E-2</v>
      </c>
      <c r="W14" s="210">
        <f>成本预测!U15</f>
        <v>2.7109343002476399E-2</v>
      </c>
    </row>
    <row r="15" spans="1:23" ht="15">
      <c r="A15" s="33">
        <v>2.2000000000000002</v>
      </c>
      <c r="B15" s="164" t="s">
        <v>533</v>
      </c>
      <c r="C15" s="78">
        <f t="shared" si="3"/>
        <v>60.91362261161332</v>
      </c>
      <c r="D15" s="78">
        <f>成本预测!B100</f>
        <v>0.31221344250000005</v>
      </c>
      <c r="E15" s="78">
        <f>成本预测!C100</f>
        <v>0.68686957350000022</v>
      </c>
      <c r="F15" s="78">
        <f>成本预测!D100</f>
        <v>0.94444566356250026</v>
      </c>
      <c r="G15" s="78">
        <f>成本预测!E100</f>
        <v>1.4544463218862502</v>
      </c>
      <c r="H15" s="78">
        <f>成本预测!F100</f>
        <v>1.5998909540748758</v>
      </c>
      <c r="I15" s="78">
        <f>成本预测!G100</f>
        <v>1.7598800494823634</v>
      </c>
      <c r="J15" s="78">
        <f>成本预测!H100</f>
        <v>1.9358680544305999</v>
      </c>
      <c r="K15" s="78">
        <f>成本预测!I100</f>
        <v>2.1294548598736602</v>
      </c>
      <c r="L15" s="78">
        <f>成本预测!J100</f>
        <v>2.3424003458610261</v>
      </c>
      <c r="M15" s="78">
        <f>成本预测!K100</f>
        <v>2.5766403804471292</v>
      </c>
      <c r="N15" s="78">
        <f>成本预测!L100</f>
        <v>2.8343044184918424</v>
      </c>
      <c r="O15" s="78">
        <f>成本预测!M100</f>
        <v>3.1177348603410269</v>
      </c>
      <c r="P15" s="78">
        <f>成本预测!N100</f>
        <v>3.4295083463751306</v>
      </c>
      <c r="Q15" s="78">
        <f>成本预测!O100</f>
        <v>3.7724591810126435</v>
      </c>
      <c r="R15" s="78">
        <f>成本预测!P100</f>
        <v>4.1497050991139082</v>
      </c>
      <c r="S15" s="78">
        <f>成本预测!Q100</f>
        <v>4.5646756090252989</v>
      </c>
      <c r="T15" s="78">
        <f>成本预测!R100</f>
        <v>5.0211431699278304</v>
      </c>
      <c r="U15" s="78">
        <f>成本预测!S100</f>
        <v>5.5232574869206124</v>
      </c>
      <c r="V15" s="78">
        <f>成本预测!T100</f>
        <v>6.0755832356126742</v>
      </c>
      <c r="W15" s="78">
        <f>成本预测!U100</f>
        <v>6.6831415591739436</v>
      </c>
    </row>
    <row r="16" spans="1:23" ht="15">
      <c r="A16" s="33">
        <v>2.2999999999999998</v>
      </c>
      <c r="B16" s="164" t="s">
        <v>534</v>
      </c>
      <c r="C16" s="78">
        <f t="shared" si="3"/>
        <v>11.796043589595266</v>
      </c>
      <c r="D16" s="78">
        <f>成本预测!B109</f>
        <v>0.14212864079999998</v>
      </c>
      <c r="E16" s="78">
        <f>成本预测!C109</f>
        <v>0.29278500004800001</v>
      </c>
      <c r="F16" s="78">
        <f>成本预测!D109</f>
        <v>0.37696068756180001</v>
      </c>
      <c r="G16" s="78">
        <f>成本预测!E109</f>
        <v>0.50475036064525025</v>
      </c>
      <c r="H16" s="78">
        <f>成本预测!F109</f>
        <v>0.51989287146460772</v>
      </c>
      <c r="I16" s="78">
        <f>成本预测!G109</f>
        <v>0.53548965760854583</v>
      </c>
      <c r="J16" s="78">
        <f>成本预测!H109</f>
        <v>0.55155434733680231</v>
      </c>
      <c r="K16" s="78">
        <f>成本预测!I109</f>
        <v>0.56810097775690627</v>
      </c>
      <c r="L16" s="78">
        <f>成本预测!J109</f>
        <v>0.58514400708961345</v>
      </c>
      <c r="M16" s="78">
        <f>成本预测!K109</f>
        <v>0.60269832730230199</v>
      </c>
      <c r="N16" s="78">
        <f>成本预测!L109</f>
        <v>0.62077927712137093</v>
      </c>
      <c r="O16" s="78">
        <f>成本预测!M109</f>
        <v>0.63940265543501207</v>
      </c>
      <c r="P16" s="78">
        <f>成本预测!N109</f>
        <v>0.65858473509806248</v>
      </c>
      <c r="Q16" s="78">
        <f>成本预测!O109</f>
        <v>0.67834227715100437</v>
      </c>
      <c r="R16" s="78">
        <f>成本预测!P109</f>
        <v>0.6986925454655345</v>
      </c>
      <c r="S16" s="78">
        <f>成本预测!Q109</f>
        <v>0.71965332182950048</v>
      </c>
      <c r="T16" s="78">
        <f>成本预测!R109</f>
        <v>0.74124292148438553</v>
      </c>
      <c r="U16" s="78">
        <f>成本预测!S109</f>
        <v>0.76348020912891701</v>
      </c>
      <c r="V16" s="78">
        <f>成本预测!T109</f>
        <v>0.7863846154027847</v>
      </c>
      <c r="W16" s="78">
        <f>成本预测!U109</f>
        <v>0.80997615386486821</v>
      </c>
    </row>
    <row r="17" spans="1:23" ht="15">
      <c r="A17" s="33">
        <v>2.4</v>
      </c>
      <c r="B17" s="164" t="s">
        <v>525</v>
      </c>
      <c r="C17" s="78">
        <f t="shared" si="3"/>
        <v>9.0945335913055381</v>
      </c>
      <c r="D17" s="78">
        <f>成本预测!B118</f>
        <v>0.23639972060000003</v>
      </c>
      <c r="E17" s="78">
        <f>成本预测!C118</f>
        <v>0.52007938532000009</v>
      </c>
      <c r="F17" s="78">
        <f>成本预测!D118</f>
        <v>0.85813098577800029</v>
      </c>
      <c r="G17" s="78">
        <f>成本预测!E118</f>
        <v>1.2585921124744004</v>
      </c>
      <c r="H17" s="78">
        <f>成本预测!F118</f>
        <v>0.17305641546523007</v>
      </c>
      <c r="I17" s="78">
        <f>成本预测!G118</f>
        <v>0.19036205701175307</v>
      </c>
      <c r="J17" s="78">
        <f>成本预测!H118</f>
        <v>0.20939826271292841</v>
      </c>
      <c r="K17" s="78">
        <f>成本预测!I118</f>
        <v>0.23033808898422126</v>
      </c>
      <c r="L17" s="78">
        <f>成本预测!J118</f>
        <v>0.25337189788264342</v>
      </c>
      <c r="M17" s="78">
        <f>成本预测!K118</f>
        <v>0.27870908767090774</v>
      </c>
      <c r="N17" s="78">
        <f>成本预测!L118</f>
        <v>0.30657999643799855</v>
      </c>
      <c r="O17" s="78">
        <f>成本预测!M118</f>
        <v>0.33723799608179839</v>
      </c>
      <c r="P17" s="78">
        <f>成本预测!N118</f>
        <v>0.37096179568997828</v>
      </c>
      <c r="Q17" s="78">
        <f>成本预测!O118</f>
        <v>0.40805797525897614</v>
      </c>
      <c r="R17" s="78">
        <f>成本预测!P118</f>
        <v>0.44886377278487377</v>
      </c>
      <c r="S17" s="78">
        <f>成本预测!Q118</f>
        <v>0.4937501500633612</v>
      </c>
      <c r="T17" s="78">
        <f>成本预测!R118</f>
        <v>0.54312516506969744</v>
      </c>
      <c r="U17" s="78">
        <f>成本预测!S118</f>
        <v>0.59743768157666721</v>
      </c>
      <c r="V17" s="78">
        <f>成本预测!T118</f>
        <v>0.65718144973433401</v>
      </c>
      <c r="W17" s="78">
        <f>成本预测!U118</f>
        <v>0.72289959470776743</v>
      </c>
    </row>
  </sheetData>
  <mergeCells count="1">
    <mergeCell ref="A1:W1"/>
  </mergeCells>
  <phoneticPr fontId="7" type="noConversion"/>
  <pageMargins left="0.7" right="0.7" top="0.75" bottom="0.75" header="0.3" footer="0.3"/>
  <pageSetup paperSize="9" orientation="portrait"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W14"/>
  <sheetViews>
    <sheetView zoomScale="80" zoomScaleNormal="80" workbookViewId="0">
      <selection activeCell="F18" sqref="F18"/>
    </sheetView>
  </sheetViews>
  <sheetFormatPr defaultRowHeight="12.5"/>
  <cols>
    <col min="1" max="1" width="8.81640625" bestFit="1" customWidth="1"/>
    <col min="2" max="2" width="33.81640625" customWidth="1"/>
    <col min="3" max="3" width="10.81640625" bestFit="1" customWidth="1"/>
    <col min="4" max="4" width="10.1796875" bestFit="1" customWidth="1"/>
    <col min="5" max="5" width="10" bestFit="1" customWidth="1"/>
    <col min="6" max="6" width="12" bestFit="1" customWidth="1"/>
    <col min="7" max="7" width="11.1796875" bestFit="1" customWidth="1"/>
    <col min="8" max="12" width="10.1796875" bestFit="1" customWidth="1"/>
    <col min="13" max="13" width="11.1796875" bestFit="1" customWidth="1"/>
    <col min="14" max="14" width="12" bestFit="1" customWidth="1"/>
    <col min="15" max="16" width="13" bestFit="1" customWidth="1"/>
    <col min="17" max="17" width="13.81640625" bestFit="1" customWidth="1"/>
    <col min="18" max="18" width="14.81640625" bestFit="1" customWidth="1"/>
    <col min="19" max="20" width="15.54296875" bestFit="1" customWidth="1"/>
    <col min="21" max="21" width="16.453125" bestFit="1" customWidth="1"/>
    <col min="22" max="22" width="17.1796875" bestFit="1" customWidth="1"/>
    <col min="23" max="23" width="18.1796875" bestFit="1" customWidth="1"/>
  </cols>
  <sheetData>
    <row r="1" spans="1:23" ht="21">
      <c r="A1" s="401" t="s">
        <v>58</v>
      </c>
      <c r="B1" s="402"/>
      <c r="C1" s="402"/>
      <c r="D1" s="402"/>
      <c r="E1" s="402"/>
      <c r="F1" s="402"/>
      <c r="G1" s="402"/>
      <c r="H1" s="402"/>
      <c r="I1" s="402"/>
      <c r="J1" s="402"/>
      <c r="K1" s="402"/>
      <c r="L1" s="402"/>
      <c r="M1" s="402"/>
      <c r="N1" s="402"/>
      <c r="O1" s="402"/>
      <c r="P1" s="402"/>
      <c r="Q1" s="402"/>
      <c r="R1" s="402"/>
      <c r="S1" s="402"/>
      <c r="T1" s="402"/>
      <c r="U1" s="402"/>
      <c r="V1" s="402"/>
      <c r="W1" s="403"/>
    </row>
    <row r="2" spans="1:23" ht="15">
      <c r="A2" s="33" t="s">
        <v>0</v>
      </c>
      <c r="B2" s="33" t="s">
        <v>6</v>
      </c>
      <c r="C2" s="33" t="s">
        <v>75</v>
      </c>
      <c r="D2" s="33">
        <v>1</v>
      </c>
      <c r="E2" s="33">
        <v>2</v>
      </c>
      <c r="F2" s="33">
        <v>3</v>
      </c>
      <c r="G2" s="33">
        <v>4</v>
      </c>
      <c r="H2" s="33">
        <v>5</v>
      </c>
      <c r="I2" s="33">
        <v>6</v>
      </c>
      <c r="J2" s="33">
        <v>7</v>
      </c>
      <c r="K2" s="33">
        <v>8</v>
      </c>
      <c r="L2" s="33">
        <v>9</v>
      </c>
      <c r="M2" s="33">
        <v>10</v>
      </c>
      <c r="N2" s="33">
        <v>11</v>
      </c>
      <c r="O2" s="33">
        <v>12</v>
      </c>
      <c r="P2" s="33">
        <v>13</v>
      </c>
      <c r="Q2" s="33">
        <v>14</v>
      </c>
      <c r="R2" s="33">
        <v>15</v>
      </c>
      <c r="S2" s="33">
        <v>16</v>
      </c>
      <c r="T2" s="33">
        <v>17</v>
      </c>
      <c r="U2" s="33">
        <v>18</v>
      </c>
      <c r="V2" s="33">
        <v>19</v>
      </c>
      <c r="W2" s="33">
        <v>20</v>
      </c>
    </row>
    <row r="3" spans="1:23" ht="15">
      <c r="A3" s="33"/>
      <c r="B3" s="33"/>
      <c r="C3" s="33" t="s">
        <v>76</v>
      </c>
      <c r="D3" s="33">
        <v>2021</v>
      </c>
      <c r="E3" s="33">
        <v>2022</v>
      </c>
      <c r="F3" s="33">
        <v>2023</v>
      </c>
      <c r="G3" s="33">
        <v>2024</v>
      </c>
      <c r="H3" s="33">
        <v>2025</v>
      </c>
      <c r="I3" s="33">
        <v>2026</v>
      </c>
      <c r="J3" s="33">
        <v>2027</v>
      </c>
      <c r="K3" s="33">
        <v>2028</v>
      </c>
      <c r="L3" s="33">
        <v>2029</v>
      </c>
      <c r="M3" s="33">
        <v>2030</v>
      </c>
      <c r="N3" s="33">
        <v>2031</v>
      </c>
      <c r="O3" s="33">
        <v>2032</v>
      </c>
      <c r="P3" s="33">
        <v>2033</v>
      </c>
      <c r="Q3" s="33">
        <v>2034</v>
      </c>
      <c r="R3" s="33">
        <v>2035</v>
      </c>
      <c r="S3" s="33">
        <v>2036</v>
      </c>
      <c r="T3" s="33">
        <v>2037</v>
      </c>
      <c r="U3" s="33">
        <v>2038</v>
      </c>
      <c r="V3" s="33">
        <v>2039</v>
      </c>
      <c r="W3" s="33">
        <v>2040</v>
      </c>
    </row>
    <row r="4" spans="1:23" ht="15">
      <c r="A4" s="19">
        <v>1</v>
      </c>
      <c r="B4" s="41" t="s">
        <v>542</v>
      </c>
      <c r="C4" s="38" t="e">
        <f>SUM(D4:W4)</f>
        <v>#REF!</v>
      </c>
      <c r="D4" s="77" t="e">
        <f>SUM(D5:D9)</f>
        <v>#REF!</v>
      </c>
      <c r="E4" s="77" t="e">
        <f t="shared" ref="E4:W4" si="0">SUM(E5:E9)</f>
        <v>#REF!</v>
      </c>
      <c r="F4" s="77" t="e">
        <f t="shared" si="0"/>
        <v>#REF!</v>
      </c>
      <c r="G4" s="77" t="e">
        <f t="shared" si="0"/>
        <v>#REF!</v>
      </c>
      <c r="H4" s="77" t="e">
        <f t="shared" si="0"/>
        <v>#REF!</v>
      </c>
      <c r="I4" s="77" t="e">
        <f t="shared" si="0"/>
        <v>#REF!</v>
      </c>
      <c r="J4" s="77" t="e">
        <f t="shared" si="0"/>
        <v>#REF!</v>
      </c>
      <c r="K4" s="77" t="e">
        <f t="shared" si="0"/>
        <v>#REF!</v>
      </c>
      <c r="L4" s="77" t="e">
        <f t="shared" si="0"/>
        <v>#REF!</v>
      </c>
      <c r="M4" s="77" t="e">
        <f t="shared" si="0"/>
        <v>#REF!</v>
      </c>
      <c r="N4" s="77" t="e">
        <f t="shared" si="0"/>
        <v>#REF!</v>
      </c>
      <c r="O4" s="77" t="e">
        <f t="shared" si="0"/>
        <v>#REF!</v>
      </c>
      <c r="P4" s="77" t="e">
        <f t="shared" si="0"/>
        <v>#REF!</v>
      </c>
      <c r="Q4" s="77" t="e">
        <f t="shared" si="0"/>
        <v>#REF!</v>
      </c>
      <c r="R4" s="77" t="e">
        <f t="shared" si="0"/>
        <v>#REF!</v>
      </c>
      <c r="S4" s="77" t="e">
        <f t="shared" si="0"/>
        <v>#REF!</v>
      </c>
      <c r="T4" s="77" t="e">
        <f t="shared" si="0"/>
        <v>#REF!</v>
      </c>
      <c r="U4" s="77" t="e">
        <f t="shared" si="0"/>
        <v>#REF!</v>
      </c>
      <c r="V4" s="77" t="e">
        <f t="shared" si="0"/>
        <v>#REF!</v>
      </c>
      <c r="W4" s="77" t="e">
        <f t="shared" si="0"/>
        <v>#REF!</v>
      </c>
    </row>
    <row r="5" spans="1:23" ht="15">
      <c r="A5" s="19">
        <v>1.1000000000000001</v>
      </c>
      <c r="B5" s="41" t="s">
        <v>251</v>
      </c>
      <c r="C5" s="38" t="e">
        <f t="shared" ref="C5:C6" si="1">SUM(D5:W5)</f>
        <v>#REF!</v>
      </c>
      <c r="D5" s="77" t="e">
        <f>营业收入估算表!D11</f>
        <v>#REF!</v>
      </c>
      <c r="E5" s="77" t="e">
        <f>营业收入估算表!E11</f>
        <v>#REF!</v>
      </c>
      <c r="F5" s="77" t="e">
        <f>营业收入估算表!F11</f>
        <v>#REF!</v>
      </c>
      <c r="G5" s="77" t="e">
        <f>营业收入估算表!G11</f>
        <v>#REF!</v>
      </c>
      <c r="H5" s="77" t="e">
        <f>营业收入估算表!H11</f>
        <v>#REF!</v>
      </c>
      <c r="I5" s="77" t="e">
        <f>营业收入估算表!I11</f>
        <v>#REF!</v>
      </c>
      <c r="J5" s="77" t="e">
        <f>营业收入估算表!J11</f>
        <v>#REF!</v>
      </c>
      <c r="K5" s="77" t="e">
        <f>营业收入估算表!K11</f>
        <v>#REF!</v>
      </c>
      <c r="L5" s="77" t="e">
        <f>营业收入估算表!L11</f>
        <v>#REF!</v>
      </c>
      <c r="M5" s="77" t="e">
        <f>营业收入估算表!M11</f>
        <v>#REF!</v>
      </c>
      <c r="N5" s="77" t="e">
        <f>营业收入估算表!N11</f>
        <v>#REF!</v>
      </c>
      <c r="O5" s="77" t="e">
        <f>营业收入估算表!O11</f>
        <v>#REF!</v>
      </c>
      <c r="P5" s="77" t="e">
        <f>营业收入估算表!P11</f>
        <v>#REF!</v>
      </c>
      <c r="Q5" s="77" t="e">
        <f>营业收入估算表!Q11</f>
        <v>#REF!</v>
      </c>
      <c r="R5" s="77" t="e">
        <f>营业收入估算表!R11</f>
        <v>#REF!</v>
      </c>
      <c r="S5" s="77" t="e">
        <f>营业收入估算表!S11</f>
        <v>#REF!</v>
      </c>
      <c r="T5" s="77" t="e">
        <f>营业收入估算表!T11</f>
        <v>#REF!</v>
      </c>
      <c r="U5" s="77" t="e">
        <f>营业收入估算表!U11</f>
        <v>#REF!</v>
      </c>
      <c r="V5" s="77" t="e">
        <f>营业收入估算表!V11</f>
        <v>#REF!</v>
      </c>
      <c r="W5" s="77" t="e">
        <f>营业收入估算表!W11</f>
        <v>#REF!</v>
      </c>
    </row>
    <row r="6" spans="1:23" ht="15">
      <c r="A6" s="19">
        <v>1.2</v>
      </c>
      <c r="B6" s="41" t="s">
        <v>541</v>
      </c>
      <c r="C6" s="38" t="e">
        <f t="shared" si="1"/>
        <v>#REF!</v>
      </c>
      <c r="D6" s="77" t="e">
        <f>成本预测!B5+成本预测!B16</f>
        <v>#REF!</v>
      </c>
      <c r="E6" s="77" t="e">
        <f>成本预测!C5+成本预测!C16</f>
        <v>#REF!</v>
      </c>
      <c r="F6" s="77" t="e">
        <f>成本预测!D5+成本预测!D16</f>
        <v>#REF!</v>
      </c>
      <c r="G6" s="77" t="e">
        <f>成本预测!E5+成本预测!E16</f>
        <v>#REF!</v>
      </c>
      <c r="H6" s="77" t="e">
        <f>成本预测!F5+成本预测!F16</f>
        <v>#REF!</v>
      </c>
      <c r="I6" s="77" t="e">
        <f>成本预测!G5+成本预测!G16</f>
        <v>#REF!</v>
      </c>
      <c r="J6" s="77" t="e">
        <f>成本预测!H5+成本预测!H16</f>
        <v>#REF!</v>
      </c>
      <c r="K6" s="77" t="e">
        <f>成本预测!I5+成本预测!I16</f>
        <v>#REF!</v>
      </c>
      <c r="L6" s="77" t="e">
        <f>成本预测!J5+成本预测!J16</f>
        <v>#REF!</v>
      </c>
      <c r="M6" s="77" t="e">
        <f>成本预测!K5+成本预测!K16</f>
        <v>#REF!</v>
      </c>
      <c r="N6" s="77" t="e">
        <f>成本预测!L5+成本预测!L16</f>
        <v>#REF!</v>
      </c>
      <c r="O6" s="77" t="e">
        <f>成本预测!M5+成本预测!M16</f>
        <v>#REF!</v>
      </c>
      <c r="P6" s="77" t="e">
        <f>成本预测!N5+成本预测!N16</f>
        <v>#REF!</v>
      </c>
      <c r="Q6" s="77" t="e">
        <f>成本预测!O5+成本预测!O16</f>
        <v>#REF!</v>
      </c>
      <c r="R6" s="77" t="e">
        <f>成本预测!P5+成本预测!P16</f>
        <v>#REF!</v>
      </c>
      <c r="S6" s="77" t="e">
        <f>成本预测!Q5+成本预测!Q16</f>
        <v>#REF!</v>
      </c>
      <c r="T6" s="77" t="e">
        <f>成本预测!R5+成本预测!R16</f>
        <v>#REF!</v>
      </c>
      <c r="U6" s="77" t="e">
        <f>成本预测!S5+成本预测!S16</f>
        <v>#REF!</v>
      </c>
      <c r="V6" s="77" t="e">
        <f>成本预测!T5+成本预测!T16</f>
        <v>#REF!</v>
      </c>
      <c r="W6" s="77" t="e">
        <f>成本预测!U5+成本预测!U16</f>
        <v>#REF!</v>
      </c>
    </row>
    <row r="7" spans="1:23" ht="15">
      <c r="A7" s="123" t="s">
        <v>540</v>
      </c>
      <c r="B7" s="41" t="s">
        <v>544</v>
      </c>
      <c r="C7" s="71">
        <v>0</v>
      </c>
      <c r="D7" s="71"/>
      <c r="E7" s="71">
        <v>0</v>
      </c>
      <c r="F7" s="71">
        <v>0</v>
      </c>
      <c r="G7" s="71">
        <v>0</v>
      </c>
      <c r="H7" s="71">
        <v>0</v>
      </c>
      <c r="I7" s="71">
        <v>0</v>
      </c>
      <c r="J7" s="71">
        <v>0</v>
      </c>
      <c r="K7" s="71">
        <v>0</v>
      </c>
      <c r="L7" s="71">
        <v>0</v>
      </c>
      <c r="M7" s="71">
        <v>0</v>
      </c>
      <c r="N7" s="71">
        <v>0</v>
      </c>
      <c r="O7" s="71">
        <v>0</v>
      </c>
      <c r="P7" s="71">
        <v>0</v>
      </c>
      <c r="Q7" s="71">
        <v>0</v>
      </c>
      <c r="R7" s="71">
        <v>0</v>
      </c>
      <c r="S7" s="71">
        <v>0</v>
      </c>
      <c r="T7" s="71">
        <v>0</v>
      </c>
      <c r="U7" s="71">
        <v>0</v>
      </c>
      <c r="V7" s="71">
        <v>0</v>
      </c>
      <c r="W7" s="71">
        <v>0</v>
      </c>
    </row>
    <row r="8" spans="1:23" ht="15">
      <c r="A8" s="193" t="s">
        <v>543</v>
      </c>
      <c r="B8" s="41" t="s">
        <v>545</v>
      </c>
      <c r="C8" s="71">
        <v>0</v>
      </c>
      <c r="D8" s="71">
        <v>0</v>
      </c>
      <c r="E8" s="71">
        <v>0</v>
      </c>
      <c r="F8" s="71">
        <v>0</v>
      </c>
      <c r="G8" s="71">
        <v>0</v>
      </c>
      <c r="H8" s="71">
        <v>0</v>
      </c>
      <c r="I8" s="71">
        <v>0</v>
      </c>
      <c r="J8" s="71">
        <v>0</v>
      </c>
      <c r="K8" s="71">
        <v>0</v>
      </c>
      <c r="L8" s="71">
        <v>0</v>
      </c>
      <c r="M8" s="71">
        <v>0</v>
      </c>
      <c r="N8" s="71">
        <v>0</v>
      </c>
      <c r="O8" s="71">
        <v>0</v>
      </c>
      <c r="P8" s="71">
        <v>0</v>
      </c>
      <c r="Q8" s="71">
        <v>0</v>
      </c>
      <c r="R8" s="71">
        <v>0</v>
      </c>
      <c r="S8" s="71">
        <v>0</v>
      </c>
      <c r="T8" s="71">
        <v>0</v>
      </c>
      <c r="U8" s="71">
        <v>0</v>
      </c>
      <c r="V8" s="71">
        <v>0</v>
      </c>
      <c r="W8" s="71">
        <v>0</v>
      </c>
    </row>
    <row r="9" spans="1:23" ht="15">
      <c r="A9" s="123"/>
      <c r="B9" s="41"/>
      <c r="C9" s="71">
        <v>0</v>
      </c>
      <c r="D9" s="71">
        <v>0</v>
      </c>
      <c r="E9" s="71">
        <v>0</v>
      </c>
      <c r="F9" s="71">
        <v>0</v>
      </c>
      <c r="G9" s="71">
        <v>0</v>
      </c>
      <c r="H9" s="71">
        <v>0</v>
      </c>
      <c r="I9" s="71">
        <v>0</v>
      </c>
      <c r="J9" s="71">
        <v>0</v>
      </c>
      <c r="K9" s="71">
        <v>0</v>
      </c>
      <c r="L9" s="71">
        <v>0</v>
      </c>
      <c r="M9" s="71">
        <v>0</v>
      </c>
      <c r="N9" s="71">
        <v>0</v>
      </c>
      <c r="O9" s="71">
        <v>0</v>
      </c>
      <c r="P9" s="71">
        <v>0</v>
      </c>
      <c r="Q9" s="71">
        <v>0</v>
      </c>
      <c r="R9" s="71">
        <v>0</v>
      </c>
      <c r="S9" s="71">
        <v>0</v>
      </c>
      <c r="T9" s="71">
        <v>0</v>
      </c>
      <c r="U9" s="71">
        <v>0</v>
      </c>
      <c r="V9" s="71">
        <v>0</v>
      </c>
      <c r="W9" s="71">
        <v>0</v>
      </c>
    </row>
    <row r="10" spans="1:23" ht="13">
      <c r="E10" s="2"/>
    </row>
    <row r="14" spans="1:23" ht="13">
      <c r="B14" s="2"/>
    </row>
  </sheetData>
  <mergeCells count="1">
    <mergeCell ref="A1:W1"/>
  </mergeCells>
  <phoneticPr fontId="7" type="noConversion"/>
  <pageMargins left="0.7" right="0.7" top="0.75" bottom="0.75" header="0.3" footer="0.3"/>
  <pageSetup paperSize="9" orientation="portrait"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W28"/>
  <sheetViews>
    <sheetView zoomScale="80" zoomScaleNormal="80" workbookViewId="0">
      <selection activeCell="F18" sqref="F18"/>
    </sheetView>
  </sheetViews>
  <sheetFormatPr defaultRowHeight="12.5"/>
  <cols>
    <col min="1" max="1" width="5.81640625" bestFit="1" customWidth="1"/>
    <col min="2" max="2" width="14.81640625" bestFit="1" customWidth="1"/>
    <col min="3" max="3" width="11.1796875" bestFit="1" customWidth="1"/>
    <col min="4" max="5" width="6" bestFit="1" customWidth="1"/>
    <col min="6" max="6" width="17" bestFit="1" customWidth="1"/>
    <col min="7" max="8" width="12.1796875" bestFit="1" customWidth="1"/>
    <col min="9" max="11" width="11.1796875" bestFit="1" customWidth="1"/>
    <col min="12" max="17" width="12.1796875" bestFit="1" customWidth="1"/>
    <col min="18" max="23" width="13.453125" bestFit="1" customWidth="1"/>
  </cols>
  <sheetData>
    <row r="1" spans="1:23" ht="21">
      <c r="A1" s="401" t="s">
        <v>102</v>
      </c>
      <c r="B1" s="402"/>
      <c r="C1" s="402"/>
      <c r="D1" s="402"/>
      <c r="E1" s="402"/>
      <c r="F1" s="402"/>
      <c r="G1" s="402"/>
      <c r="H1" s="402"/>
      <c r="I1" s="402"/>
      <c r="J1" s="402"/>
      <c r="K1" s="402"/>
      <c r="L1" s="402"/>
      <c r="M1" s="402"/>
      <c r="N1" s="402"/>
      <c r="O1" s="402"/>
      <c r="P1" s="402"/>
      <c r="Q1" s="402"/>
      <c r="R1" s="402"/>
      <c r="S1" s="402"/>
      <c r="T1" s="402"/>
      <c r="U1" s="402"/>
      <c r="V1" s="402"/>
      <c r="W1" s="403"/>
    </row>
    <row r="2" spans="1:23" ht="15">
      <c r="A2" s="33" t="s">
        <v>0</v>
      </c>
      <c r="B2" s="33" t="s">
        <v>6</v>
      </c>
      <c r="C2" s="33" t="s">
        <v>75</v>
      </c>
      <c r="D2" s="33">
        <v>1</v>
      </c>
      <c r="E2" s="33">
        <v>2</v>
      </c>
      <c r="F2" s="33">
        <v>3</v>
      </c>
      <c r="G2" s="33">
        <v>4</v>
      </c>
      <c r="H2" s="33">
        <v>5</v>
      </c>
      <c r="I2" s="33">
        <v>6</v>
      </c>
      <c r="J2" s="33">
        <v>7</v>
      </c>
      <c r="K2" s="33">
        <v>8</v>
      </c>
      <c r="L2" s="33">
        <v>9</v>
      </c>
      <c r="M2" s="33">
        <v>10</v>
      </c>
      <c r="N2" s="33">
        <v>11</v>
      </c>
      <c r="O2" s="33">
        <v>12</v>
      </c>
      <c r="P2" s="33">
        <v>13</v>
      </c>
      <c r="Q2" s="33">
        <v>14</v>
      </c>
      <c r="R2" s="33">
        <v>15</v>
      </c>
      <c r="S2" s="33">
        <v>16</v>
      </c>
      <c r="T2" s="33">
        <v>17</v>
      </c>
      <c r="U2" s="33">
        <v>18</v>
      </c>
      <c r="V2" s="33">
        <v>19</v>
      </c>
      <c r="W2" s="33">
        <v>20</v>
      </c>
    </row>
    <row r="3" spans="1:23" ht="15">
      <c r="A3" s="33"/>
      <c r="B3" s="33"/>
      <c r="C3" s="33" t="s">
        <v>76</v>
      </c>
      <c r="D3" s="33">
        <v>2021</v>
      </c>
      <c r="E3" s="33">
        <v>2022</v>
      </c>
      <c r="F3" s="33">
        <v>2023</v>
      </c>
      <c r="G3" s="33">
        <v>2024</v>
      </c>
      <c r="H3" s="33">
        <v>2025</v>
      </c>
      <c r="I3" s="33">
        <v>2026</v>
      </c>
      <c r="J3" s="33">
        <v>2027</v>
      </c>
      <c r="K3" s="33">
        <v>2028</v>
      </c>
      <c r="L3" s="33">
        <v>2029</v>
      </c>
      <c r="M3" s="33">
        <v>2030</v>
      </c>
      <c r="N3" s="33">
        <v>2031</v>
      </c>
      <c r="O3" s="33">
        <v>2032</v>
      </c>
      <c r="P3" s="33">
        <v>2033</v>
      </c>
      <c r="Q3" s="33">
        <v>2034</v>
      </c>
      <c r="R3" s="33">
        <v>2035</v>
      </c>
      <c r="S3" s="33">
        <v>2036</v>
      </c>
      <c r="T3" s="33">
        <v>2037</v>
      </c>
      <c r="U3" s="33">
        <v>2038</v>
      </c>
      <c r="V3" s="33">
        <v>2039</v>
      </c>
      <c r="W3" s="33">
        <v>2040</v>
      </c>
    </row>
    <row r="4" spans="1:23" ht="15">
      <c r="A4" s="41">
        <v>1</v>
      </c>
      <c r="B4" s="41" t="s">
        <v>103</v>
      </c>
      <c r="C4" s="31"/>
      <c r="D4" s="45"/>
      <c r="E4" s="45"/>
      <c r="F4" s="45"/>
      <c r="G4" s="45"/>
      <c r="H4" s="45"/>
      <c r="I4" s="45"/>
      <c r="J4" s="45"/>
      <c r="K4" s="45"/>
      <c r="L4" s="45"/>
      <c r="M4" s="45"/>
      <c r="N4" s="31"/>
      <c r="O4" s="31"/>
      <c r="P4" s="31"/>
      <c r="Q4" s="31"/>
      <c r="R4" s="31"/>
      <c r="S4" s="31"/>
      <c r="T4" s="31"/>
      <c r="U4" s="31"/>
      <c r="V4" s="31"/>
      <c r="W4" s="31"/>
    </row>
    <row r="5" spans="1:23" ht="15">
      <c r="A5" s="41">
        <v>1.1000000000000001</v>
      </c>
      <c r="B5" s="41" t="s">
        <v>104</v>
      </c>
      <c r="C5" s="46" t="e">
        <f>总投资估算表!F3</f>
        <v>#REF!</v>
      </c>
      <c r="D5" s="47"/>
      <c r="E5" s="46"/>
      <c r="F5" s="46"/>
      <c r="G5" s="46"/>
      <c r="H5" s="46"/>
      <c r="I5" s="46"/>
      <c r="J5" s="46"/>
      <c r="K5" s="46"/>
      <c r="L5" s="46"/>
      <c r="M5" s="46"/>
      <c r="N5" s="31"/>
      <c r="O5" s="31"/>
      <c r="P5" s="31"/>
      <c r="Q5" s="31"/>
      <c r="R5" s="31"/>
      <c r="S5" s="31"/>
      <c r="T5" s="31"/>
      <c r="U5" s="31"/>
      <c r="V5" s="31"/>
      <c r="W5" s="31"/>
    </row>
    <row r="6" spans="1:23" ht="15">
      <c r="A6" s="41">
        <v>1.2</v>
      </c>
      <c r="B6" s="41" t="s">
        <v>105</v>
      </c>
      <c r="C6" s="46" t="e">
        <f>C5*95%/40</f>
        <v>#REF!</v>
      </c>
      <c r="D6" s="45"/>
      <c r="E6" s="45"/>
      <c r="F6" s="48" t="e">
        <f>C6</f>
        <v>#REF!</v>
      </c>
      <c r="G6" s="48" t="e">
        <f>F6</f>
        <v>#REF!</v>
      </c>
      <c r="H6" s="48" t="e">
        <f t="shared" ref="H6:W6" si="0">G6</f>
        <v>#REF!</v>
      </c>
      <c r="I6" s="48" t="e">
        <f t="shared" si="0"/>
        <v>#REF!</v>
      </c>
      <c r="J6" s="48" t="e">
        <f t="shared" si="0"/>
        <v>#REF!</v>
      </c>
      <c r="K6" s="48" t="e">
        <f t="shared" si="0"/>
        <v>#REF!</v>
      </c>
      <c r="L6" s="48" t="e">
        <f t="shared" si="0"/>
        <v>#REF!</v>
      </c>
      <c r="M6" s="48" t="e">
        <f t="shared" si="0"/>
        <v>#REF!</v>
      </c>
      <c r="N6" s="48" t="e">
        <f t="shared" si="0"/>
        <v>#REF!</v>
      </c>
      <c r="O6" s="48" t="e">
        <f t="shared" si="0"/>
        <v>#REF!</v>
      </c>
      <c r="P6" s="48" t="e">
        <f t="shared" si="0"/>
        <v>#REF!</v>
      </c>
      <c r="Q6" s="48" t="e">
        <f t="shared" si="0"/>
        <v>#REF!</v>
      </c>
      <c r="R6" s="48" t="e">
        <f t="shared" si="0"/>
        <v>#REF!</v>
      </c>
      <c r="S6" s="48" t="e">
        <f t="shared" si="0"/>
        <v>#REF!</v>
      </c>
      <c r="T6" s="48" t="e">
        <f t="shared" si="0"/>
        <v>#REF!</v>
      </c>
      <c r="U6" s="48" t="e">
        <f t="shared" si="0"/>
        <v>#REF!</v>
      </c>
      <c r="V6" s="48" t="e">
        <f t="shared" si="0"/>
        <v>#REF!</v>
      </c>
      <c r="W6" s="48" t="e">
        <f t="shared" si="0"/>
        <v>#REF!</v>
      </c>
    </row>
    <row r="7" spans="1:23" ht="15">
      <c r="A7" s="41">
        <v>1.3</v>
      </c>
      <c r="B7" s="41" t="s">
        <v>106</v>
      </c>
      <c r="C7" s="45"/>
      <c r="D7" s="45"/>
      <c r="E7" s="45"/>
      <c r="F7" s="48" t="e">
        <f>C5-F6</f>
        <v>#REF!</v>
      </c>
      <c r="G7" s="48" t="e">
        <f>F7-G6</f>
        <v>#REF!</v>
      </c>
      <c r="H7" s="48" t="e">
        <f t="shared" ref="H7:W7" si="1">G7-H6</f>
        <v>#REF!</v>
      </c>
      <c r="I7" s="48" t="e">
        <f t="shared" si="1"/>
        <v>#REF!</v>
      </c>
      <c r="J7" s="48" t="e">
        <f t="shared" si="1"/>
        <v>#REF!</v>
      </c>
      <c r="K7" s="48" t="e">
        <f t="shared" si="1"/>
        <v>#REF!</v>
      </c>
      <c r="L7" s="48" t="e">
        <f t="shared" si="1"/>
        <v>#REF!</v>
      </c>
      <c r="M7" s="48" t="e">
        <f t="shared" si="1"/>
        <v>#REF!</v>
      </c>
      <c r="N7" s="48" t="e">
        <f t="shared" si="1"/>
        <v>#REF!</v>
      </c>
      <c r="O7" s="48" t="e">
        <f t="shared" si="1"/>
        <v>#REF!</v>
      </c>
      <c r="P7" s="48" t="e">
        <f t="shared" si="1"/>
        <v>#REF!</v>
      </c>
      <c r="Q7" s="48" t="e">
        <f t="shared" si="1"/>
        <v>#REF!</v>
      </c>
      <c r="R7" s="48" t="e">
        <f t="shared" si="1"/>
        <v>#REF!</v>
      </c>
      <c r="S7" s="48" t="e">
        <f t="shared" si="1"/>
        <v>#REF!</v>
      </c>
      <c r="T7" s="48" t="e">
        <f t="shared" si="1"/>
        <v>#REF!</v>
      </c>
      <c r="U7" s="48" t="e">
        <f t="shared" si="1"/>
        <v>#REF!</v>
      </c>
      <c r="V7" s="48" t="e">
        <f t="shared" si="1"/>
        <v>#REF!</v>
      </c>
      <c r="W7" s="48" t="e">
        <f t="shared" si="1"/>
        <v>#REF!</v>
      </c>
    </row>
    <row r="8" spans="1:23" ht="15">
      <c r="A8" s="41">
        <v>1.4</v>
      </c>
      <c r="B8" s="41" t="s">
        <v>107</v>
      </c>
      <c r="C8" s="45"/>
      <c r="D8" s="45"/>
      <c r="E8" s="45"/>
      <c r="F8" s="49"/>
      <c r="G8" s="49"/>
      <c r="H8" s="49"/>
      <c r="I8" s="49"/>
      <c r="J8" s="49"/>
      <c r="K8" s="49"/>
      <c r="L8" s="49"/>
      <c r="M8" s="49"/>
      <c r="N8" s="31"/>
      <c r="O8" s="31"/>
      <c r="P8" s="31"/>
      <c r="Q8" s="31"/>
      <c r="R8" s="31"/>
      <c r="S8" s="31"/>
      <c r="T8" s="31"/>
      <c r="U8" s="31"/>
      <c r="V8" s="31"/>
      <c r="W8" s="50" t="e">
        <f>W7</f>
        <v>#REF!</v>
      </c>
    </row>
    <row r="9" spans="1:23" ht="15">
      <c r="A9" s="41">
        <v>2</v>
      </c>
      <c r="B9" s="41" t="s">
        <v>537</v>
      </c>
      <c r="C9" s="31"/>
      <c r="D9" s="45"/>
      <c r="E9" s="45"/>
      <c r="F9" s="45"/>
      <c r="G9" s="45"/>
      <c r="H9" s="45"/>
      <c r="I9" s="45"/>
      <c r="J9" s="45"/>
      <c r="K9" s="45"/>
      <c r="L9" s="45"/>
      <c r="M9" s="45"/>
      <c r="N9" s="31"/>
      <c r="O9" s="31"/>
      <c r="P9" s="31"/>
      <c r="Q9" s="31"/>
      <c r="R9" s="31"/>
      <c r="S9" s="31"/>
      <c r="T9" s="31"/>
      <c r="U9" s="31"/>
      <c r="V9" s="31"/>
      <c r="W9" s="31"/>
    </row>
    <row r="10" spans="1:23" ht="15">
      <c r="A10" s="41">
        <v>1.1000000000000001</v>
      </c>
      <c r="B10" s="41" t="s">
        <v>104</v>
      </c>
      <c r="C10" s="46" t="e">
        <f>总投资估算表!F14</f>
        <v>#REF!</v>
      </c>
      <c r="D10" s="47"/>
      <c r="E10" s="46"/>
      <c r="F10" s="46"/>
      <c r="G10" s="46"/>
      <c r="H10" s="46"/>
      <c r="I10" s="46"/>
      <c r="J10" s="46"/>
      <c r="K10" s="46"/>
      <c r="L10" s="46"/>
      <c r="M10" s="46"/>
      <c r="N10" s="31"/>
      <c r="O10" s="31"/>
      <c r="P10" s="31"/>
      <c r="Q10" s="31"/>
      <c r="R10" s="31"/>
      <c r="S10" s="31"/>
      <c r="T10" s="31"/>
      <c r="U10" s="31"/>
      <c r="V10" s="31"/>
      <c r="W10" s="31"/>
    </row>
    <row r="11" spans="1:23" ht="15">
      <c r="A11" s="41">
        <v>1.2</v>
      </c>
      <c r="B11" s="41" t="s">
        <v>105</v>
      </c>
      <c r="C11" s="46" t="e">
        <f>C10*95%/5</f>
        <v>#REF!</v>
      </c>
      <c r="D11" s="45"/>
      <c r="E11" s="45"/>
      <c r="F11" s="48" t="e">
        <f>C11</f>
        <v>#REF!</v>
      </c>
      <c r="G11" s="48" t="e">
        <f>F11</f>
        <v>#REF!</v>
      </c>
      <c r="H11" s="48" t="e">
        <f t="shared" ref="H11:J11" si="2">G11</f>
        <v>#REF!</v>
      </c>
      <c r="I11" s="48" t="e">
        <f t="shared" si="2"/>
        <v>#REF!</v>
      </c>
      <c r="J11" s="48" t="e">
        <f t="shared" si="2"/>
        <v>#REF!</v>
      </c>
      <c r="K11" s="48"/>
      <c r="L11" s="48"/>
      <c r="M11" s="48"/>
      <c r="N11" s="48"/>
      <c r="O11" s="48"/>
      <c r="P11" s="48"/>
      <c r="Q11" s="48"/>
      <c r="R11" s="48"/>
      <c r="S11" s="48"/>
      <c r="T11" s="48"/>
      <c r="U11" s="48"/>
      <c r="V11" s="48"/>
      <c r="W11" s="48"/>
    </row>
    <row r="12" spans="1:23" ht="15">
      <c r="A12" s="41">
        <v>1.3</v>
      </c>
      <c r="B12" s="41" t="s">
        <v>106</v>
      </c>
      <c r="C12" s="45"/>
      <c r="D12" s="45"/>
      <c r="E12" s="45"/>
      <c r="F12" s="49" t="e">
        <f>C10-F11</f>
        <v>#REF!</v>
      </c>
      <c r="G12" s="49" t="e">
        <f>F12-G11</f>
        <v>#REF!</v>
      </c>
      <c r="H12" s="49" t="e">
        <f t="shared" ref="H12" si="3">G12-H11</f>
        <v>#REF!</v>
      </c>
      <c r="I12" s="49" t="e">
        <f t="shared" ref="I12" si="4">H12-I11</f>
        <v>#REF!</v>
      </c>
      <c r="J12" s="49" t="e">
        <f t="shared" ref="J12" si="5">I12-J11</f>
        <v>#REF!</v>
      </c>
      <c r="K12" s="49"/>
      <c r="L12" s="49"/>
      <c r="M12" s="49"/>
      <c r="N12" s="49"/>
      <c r="O12" s="49"/>
      <c r="P12" s="49"/>
      <c r="Q12" s="49"/>
      <c r="R12" s="49"/>
      <c r="S12" s="49"/>
      <c r="T12" s="49"/>
      <c r="U12" s="49"/>
      <c r="V12" s="49"/>
      <c r="W12" s="49"/>
    </row>
    <row r="13" spans="1:23" ht="15">
      <c r="A13" s="41">
        <v>1.4</v>
      </c>
      <c r="B13" s="41" t="s">
        <v>107</v>
      </c>
      <c r="C13" s="45"/>
      <c r="D13" s="45"/>
      <c r="E13" s="45"/>
      <c r="F13" s="49"/>
      <c r="G13" s="49"/>
      <c r="H13" s="49"/>
      <c r="I13" s="49"/>
      <c r="J13" s="49"/>
      <c r="K13" s="49"/>
      <c r="L13" s="49"/>
      <c r="M13" s="49"/>
      <c r="N13" s="31"/>
      <c r="O13" s="31"/>
      <c r="P13" s="31"/>
      <c r="Q13" s="31"/>
      <c r="R13" s="31"/>
      <c r="S13" s="31"/>
      <c r="T13" s="31"/>
      <c r="U13" s="31"/>
      <c r="V13" s="31"/>
      <c r="W13" s="50"/>
    </row>
    <row r="14" spans="1:23" ht="15">
      <c r="A14" s="41">
        <v>3</v>
      </c>
      <c r="B14" s="41" t="s">
        <v>538</v>
      </c>
      <c r="C14" s="31"/>
      <c r="D14" s="45"/>
      <c r="E14" s="45"/>
      <c r="F14" s="45"/>
      <c r="G14" s="45"/>
      <c r="H14" s="45"/>
      <c r="I14" s="45"/>
      <c r="J14" s="45"/>
      <c r="K14" s="45"/>
      <c r="L14" s="45"/>
      <c r="M14" s="45"/>
      <c r="N14" s="31"/>
      <c r="O14" s="31"/>
      <c r="P14" s="31"/>
      <c r="Q14" s="31"/>
      <c r="R14" s="31"/>
      <c r="S14" s="31"/>
      <c r="T14" s="31"/>
      <c r="U14" s="31"/>
      <c r="V14" s="31"/>
      <c r="W14" s="31"/>
    </row>
    <row r="15" spans="1:23" ht="15">
      <c r="A15" s="41">
        <v>1.1000000000000001</v>
      </c>
      <c r="B15" s="41" t="s">
        <v>104</v>
      </c>
      <c r="C15" s="46" t="e">
        <f>总投资估算表!F15</f>
        <v>#REF!</v>
      </c>
      <c r="D15" s="47"/>
      <c r="E15" s="46"/>
      <c r="F15" s="46"/>
      <c r="G15" s="46"/>
      <c r="H15" s="46"/>
      <c r="I15" s="46"/>
      <c r="J15" s="46"/>
      <c r="K15" s="46"/>
      <c r="L15" s="46"/>
      <c r="M15" s="46"/>
      <c r="N15" s="31"/>
      <c r="O15" s="31"/>
      <c r="P15" s="31"/>
      <c r="Q15" s="31"/>
      <c r="R15" s="31"/>
      <c r="S15" s="31"/>
      <c r="T15" s="31"/>
      <c r="U15" s="31"/>
      <c r="V15" s="31"/>
      <c r="W15" s="31"/>
    </row>
    <row r="16" spans="1:23" ht="15">
      <c r="A16" s="41">
        <v>1.2</v>
      </c>
      <c r="B16" s="41" t="s">
        <v>105</v>
      </c>
      <c r="C16" s="46" t="e">
        <f>C15*95%/5</f>
        <v>#REF!</v>
      </c>
      <c r="D16" s="45"/>
      <c r="E16" s="45"/>
      <c r="F16" s="48" t="e">
        <f>C16</f>
        <v>#REF!</v>
      </c>
      <c r="G16" s="48" t="e">
        <f>F16</f>
        <v>#REF!</v>
      </c>
      <c r="H16" s="48" t="e">
        <f t="shared" ref="H16:J16" si="6">G16</f>
        <v>#REF!</v>
      </c>
      <c r="I16" s="48" t="e">
        <f t="shared" si="6"/>
        <v>#REF!</v>
      </c>
      <c r="J16" s="48" t="e">
        <f t="shared" si="6"/>
        <v>#REF!</v>
      </c>
      <c r="K16" s="48"/>
      <c r="L16" s="48"/>
      <c r="M16" s="48"/>
      <c r="N16" s="48"/>
      <c r="O16" s="48"/>
      <c r="P16" s="48"/>
      <c r="Q16" s="48"/>
      <c r="R16" s="48"/>
      <c r="S16" s="48"/>
      <c r="T16" s="48"/>
      <c r="U16" s="48"/>
      <c r="V16" s="48"/>
      <c r="W16" s="48"/>
    </row>
    <row r="17" spans="1:23" ht="15">
      <c r="A17" s="41">
        <v>1.3</v>
      </c>
      <c r="B17" s="41" t="s">
        <v>106</v>
      </c>
      <c r="C17" s="45"/>
      <c r="D17" s="45"/>
      <c r="E17" s="45"/>
      <c r="F17" s="49" t="e">
        <f>C15-F16</f>
        <v>#REF!</v>
      </c>
      <c r="G17" s="49" t="e">
        <f>F17-G16</f>
        <v>#REF!</v>
      </c>
      <c r="H17" s="49" t="e">
        <f t="shared" ref="H17" si="7">G17-H16</f>
        <v>#REF!</v>
      </c>
      <c r="I17" s="49" t="e">
        <f t="shared" ref="I17" si="8">H17-I16</f>
        <v>#REF!</v>
      </c>
      <c r="J17" s="49" t="e">
        <f t="shared" ref="J17" si="9">I17-J16</f>
        <v>#REF!</v>
      </c>
      <c r="K17" s="49"/>
      <c r="L17" s="49"/>
      <c r="M17" s="49"/>
      <c r="N17" s="49"/>
      <c r="O17" s="49"/>
      <c r="P17" s="49"/>
      <c r="Q17" s="49"/>
      <c r="R17" s="49"/>
      <c r="S17" s="49"/>
      <c r="T17" s="49"/>
      <c r="U17" s="49"/>
      <c r="V17" s="49"/>
      <c r="W17" s="49"/>
    </row>
    <row r="18" spans="1:23" ht="15">
      <c r="A18" s="41">
        <v>1.4</v>
      </c>
      <c r="B18" s="41" t="s">
        <v>107</v>
      </c>
      <c r="C18" s="45"/>
      <c r="D18" s="45"/>
      <c r="E18" s="45"/>
      <c r="F18" s="49"/>
      <c r="G18" s="49"/>
      <c r="H18" s="49"/>
      <c r="I18" s="49"/>
      <c r="J18" s="49"/>
      <c r="K18" s="49"/>
      <c r="L18" s="49"/>
      <c r="M18" s="49"/>
      <c r="N18" s="31"/>
      <c r="O18" s="31"/>
      <c r="P18" s="31"/>
      <c r="Q18" s="31"/>
      <c r="R18" s="31"/>
      <c r="S18" s="31"/>
      <c r="T18" s="31"/>
      <c r="U18" s="31"/>
      <c r="V18" s="31"/>
      <c r="W18" s="50"/>
    </row>
    <row r="19" spans="1:23" ht="15">
      <c r="A19" s="41">
        <v>4</v>
      </c>
      <c r="B19" s="41" t="s">
        <v>539</v>
      </c>
      <c r="C19" s="31"/>
      <c r="D19" s="45"/>
      <c r="E19" s="45"/>
      <c r="F19" s="45"/>
      <c r="G19" s="45"/>
      <c r="H19" s="45"/>
      <c r="I19" s="45"/>
      <c r="J19" s="45"/>
      <c r="K19" s="45"/>
      <c r="L19" s="45"/>
      <c r="M19" s="45"/>
      <c r="N19" s="31"/>
      <c r="O19" s="31"/>
      <c r="P19" s="31"/>
      <c r="Q19" s="31"/>
      <c r="R19" s="31"/>
      <c r="S19" s="31"/>
      <c r="T19" s="31"/>
      <c r="U19" s="31"/>
      <c r="V19" s="31"/>
      <c r="W19" s="31"/>
    </row>
    <row r="20" spans="1:23" ht="15">
      <c r="A20" s="41">
        <v>1.1000000000000001</v>
      </c>
      <c r="B20" s="41" t="s">
        <v>104</v>
      </c>
      <c r="C20" s="46" t="e">
        <f>总投资估算表!F16</f>
        <v>#REF!</v>
      </c>
      <c r="D20" s="47"/>
      <c r="E20" s="46"/>
      <c r="F20" s="46"/>
      <c r="G20" s="46"/>
      <c r="H20" s="46"/>
      <c r="I20" s="46"/>
      <c r="J20" s="46"/>
      <c r="K20" s="46"/>
      <c r="L20" s="46"/>
      <c r="M20" s="46"/>
      <c r="N20" s="31"/>
      <c r="O20" s="31"/>
      <c r="P20" s="31"/>
      <c r="Q20" s="31"/>
      <c r="R20" s="31"/>
      <c r="S20" s="31"/>
      <c r="T20" s="31"/>
      <c r="U20" s="31"/>
      <c r="V20" s="31"/>
      <c r="W20" s="31"/>
    </row>
    <row r="21" spans="1:23" ht="15">
      <c r="A21" s="41">
        <v>1.2</v>
      </c>
      <c r="B21" s="41" t="s">
        <v>105</v>
      </c>
      <c r="C21" s="46" t="e">
        <f>C20*95%/5</f>
        <v>#REF!</v>
      </c>
      <c r="D21" s="45"/>
      <c r="E21" s="45"/>
      <c r="F21" s="48" t="e">
        <f>C21</f>
        <v>#REF!</v>
      </c>
      <c r="G21" s="48" t="e">
        <f>F21</f>
        <v>#REF!</v>
      </c>
      <c r="H21" s="48" t="e">
        <f t="shared" ref="H21:J21" si="10">G21</f>
        <v>#REF!</v>
      </c>
      <c r="I21" s="48" t="e">
        <f t="shared" si="10"/>
        <v>#REF!</v>
      </c>
      <c r="J21" s="48" t="e">
        <f t="shared" si="10"/>
        <v>#REF!</v>
      </c>
      <c r="K21" s="48"/>
      <c r="L21" s="48"/>
      <c r="M21" s="48"/>
      <c r="N21" s="48"/>
      <c r="O21" s="48"/>
      <c r="P21" s="48"/>
      <c r="Q21" s="48"/>
      <c r="R21" s="48"/>
      <c r="S21" s="48"/>
      <c r="T21" s="48"/>
      <c r="U21" s="48"/>
      <c r="V21" s="48"/>
      <c r="W21" s="48"/>
    </row>
    <row r="22" spans="1:23" ht="15">
      <c r="A22" s="41">
        <v>1.3</v>
      </c>
      <c r="B22" s="41" t="s">
        <v>106</v>
      </c>
      <c r="C22" s="45"/>
      <c r="D22" s="45"/>
      <c r="E22" s="45"/>
      <c r="F22" s="49" t="e">
        <f>C20-F21</f>
        <v>#REF!</v>
      </c>
      <c r="G22" s="49" t="e">
        <f>F22-G21</f>
        <v>#REF!</v>
      </c>
      <c r="H22" s="49" t="e">
        <f t="shared" ref="H22" si="11">G22-H21</f>
        <v>#REF!</v>
      </c>
      <c r="I22" s="49" t="e">
        <f t="shared" ref="I22" si="12">H22-I21</f>
        <v>#REF!</v>
      </c>
      <c r="J22" s="49" t="e">
        <f t="shared" ref="J22" si="13">I22-J21</f>
        <v>#REF!</v>
      </c>
      <c r="K22" s="49"/>
      <c r="L22" s="49"/>
      <c r="M22" s="49"/>
      <c r="N22" s="49"/>
      <c r="O22" s="49"/>
      <c r="P22" s="49"/>
      <c r="Q22" s="49"/>
      <c r="R22" s="49"/>
      <c r="S22" s="49"/>
      <c r="T22" s="49"/>
      <c r="U22" s="49"/>
      <c r="V22" s="49"/>
      <c r="W22" s="49"/>
    </row>
    <row r="23" spans="1:23" ht="15">
      <c r="A23" s="41">
        <v>1.4</v>
      </c>
      <c r="B23" s="41" t="s">
        <v>107</v>
      </c>
      <c r="C23" s="45"/>
      <c r="D23" s="45"/>
      <c r="E23" s="45"/>
      <c r="F23" s="49"/>
      <c r="G23" s="49"/>
      <c r="H23" s="49"/>
      <c r="I23" s="49"/>
      <c r="J23" s="49"/>
      <c r="K23" s="49"/>
      <c r="L23" s="49"/>
      <c r="M23" s="49"/>
      <c r="N23" s="31"/>
      <c r="O23" s="31"/>
      <c r="P23" s="31"/>
      <c r="Q23" s="31"/>
      <c r="R23" s="31"/>
      <c r="S23" s="31"/>
      <c r="T23" s="31"/>
      <c r="U23" s="31"/>
      <c r="V23" s="31"/>
      <c r="W23" s="50"/>
    </row>
    <row r="24" spans="1:23" ht="15">
      <c r="A24" s="41">
        <v>5</v>
      </c>
      <c r="B24" s="41" t="s">
        <v>76</v>
      </c>
      <c r="C24" s="31"/>
      <c r="D24" s="45"/>
      <c r="E24" s="45"/>
      <c r="F24" s="45"/>
      <c r="G24" s="45"/>
      <c r="H24" s="45"/>
      <c r="I24" s="45"/>
      <c r="J24" s="45"/>
      <c r="K24" s="45"/>
      <c r="L24" s="45"/>
      <c r="M24" s="45"/>
      <c r="N24" s="31"/>
      <c r="O24" s="31"/>
      <c r="P24" s="31"/>
      <c r="Q24" s="31"/>
      <c r="R24" s="31"/>
      <c r="S24" s="31"/>
      <c r="T24" s="31"/>
      <c r="U24" s="31"/>
      <c r="V24" s="31"/>
      <c r="W24" s="31"/>
    </row>
    <row r="25" spans="1:23" ht="15">
      <c r="A25" s="41">
        <v>1.1000000000000001</v>
      </c>
      <c r="B25" s="41" t="s">
        <v>104</v>
      </c>
      <c r="C25" s="46" t="e">
        <f>C5+C10+C15+C20</f>
        <v>#REF!</v>
      </c>
      <c r="D25" s="47"/>
      <c r="E25" s="46"/>
      <c r="F25" s="46"/>
      <c r="G25" s="46"/>
      <c r="H25" s="46"/>
      <c r="I25" s="46"/>
      <c r="J25" s="46"/>
      <c r="K25" s="46"/>
      <c r="L25" s="46"/>
      <c r="M25" s="46"/>
      <c r="N25" s="31"/>
      <c r="O25" s="31"/>
      <c r="P25" s="31"/>
      <c r="Q25" s="31"/>
      <c r="R25" s="31"/>
      <c r="S25" s="31"/>
      <c r="T25" s="31"/>
      <c r="U25" s="31"/>
      <c r="V25" s="31"/>
      <c r="W25" s="31"/>
    </row>
    <row r="26" spans="1:23" ht="15">
      <c r="A26" s="41">
        <v>1.2</v>
      </c>
      <c r="B26" s="41" t="s">
        <v>105</v>
      </c>
      <c r="C26" s="46" t="e">
        <f>C6+C11+C16+C21</f>
        <v>#REF!</v>
      </c>
      <c r="D26" s="45"/>
      <c r="E26" s="45"/>
      <c r="F26" s="46" t="e">
        <f>F6+F11+F16+F21</f>
        <v>#REF!</v>
      </c>
      <c r="G26" s="46" t="e">
        <f t="shared" ref="G26:W26" si="14">G6+G11+G16+G21</f>
        <v>#REF!</v>
      </c>
      <c r="H26" s="46" t="e">
        <f t="shared" si="14"/>
        <v>#REF!</v>
      </c>
      <c r="I26" s="46" t="e">
        <f t="shared" si="14"/>
        <v>#REF!</v>
      </c>
      <c r="J26" s="46" t="e">
        <f t="shared" si="14"/>
        <v>#REF!</v>
      </c>
      <c r="K26" s="46" t="e">
        <f t="shared" si="14"/>
        <v>#REF!</v>
      </c>
      <c r="L26" s="46" t="e">
        <f t="shared" si="14"/>
        <v>#REF!</v>
      </c>
      <c r="M26" s="46" t="e">
        <f t="shared" si="14"/>
        <v>#REF!</v>
      </c>
      <c r="N26" s="46" t="e">
        <f t="shared" si="14"/>
        <v>#REF!</v>
      </c>
      <c r="O26" s="46" t="e">
        <f t="shared" si="14"/>
        <v>#REF!</v>
      </c>
      <c r="P26" s="46" t="e">
        <f t="shared" si="14"/>
        <v>#REF!</v>
      </c>
      <c r="Q26" s="46" t="e">
        <f t="shared" si="14"/>
        <v>#REF!</v>
      </c>
      <c r="R26" s="46" t="e">
        <f t="shared" si="14"/>
        <v>#REF!</v>
      </c>
      <c r="S26" s="46" t="e">
        <f t="shared" si="14"/>
        <v>#REF!</v>
      </c>
      <c r="T26" s="46" t="e">
        <f t="shared" si="14"/>
        <v>#REF!</v>
      </c>
      <c r="U26" s="46" t="e">
        <f t="shared" si="14"/>
        <v>#REF!</v>
      </c>
      <c r="V26" s="46" t="e">
        <f t="shared" si="14"/>
        <v>#REF!</v>
      </c>
      <c r="W26" s="46" t="e">
        <f t="shared" si="14"/>
        <v>#REF!</v>
      </c>
    </row>
    <row r="27" spans="1:23" ht="15">
      <c r="A27" s="41">
        <v>1.3</v>
      </c>
      <c r="B27" s="41" t="s">
        <v>106</v>
      </c>
      <c r="C27" s="45"/>
      <c r="D27" s="45"/>
      <c r="E27" s="45"/>
      <c r="F27" s="49" t="e">
        <f>C25-F26</f>
        <v>#REF!</v>
      </c>
      <c r="G27" s="49" t="e">
        <f>F27-G26</f>
        <v>#REF!</v>
      </c>
      <c r="H27" s="49" t="e">
        <f t="shared" ref="H27" si="15">G27-H26</f>
        <v>#REF!</v>
      </c>
      <c r="I27" s="49" t="e">
        <f t="shared" ref="I27" si="16">H27-I26</f>
        <v>#REF!</v>
      </c>
      <c r="J27" s="49" t="e">
        <f t="shared" ref="J27" si="17">I27-J26</f>
        <v>#REF!</v>
      </c>
      <c r="K27" s="49" t="e">
        <f t="shared" ref="K27" si="18">J27-K26</f>
        <v>#REF!</v>
      </c>
      <c r="L27" s="49" t="e">
        <f t="shared" ref="L27" si="19">K27-L26</f>
        <v>#REF!</v>
      </c>
      <c r="M27" s="49" t="e">
        <f t="shared" ref="M27" si="20">L27-M26</f>
        <v>#REF!</v>
      </c>
      <c r="N27" s="49" t="e">
        <f t="shared" ref="N27" si="21">M27-N26</f>
        <v>#REF!</v>
      </c>
      <c r="O27" s="49" t="e">
        <f t="shared" ref="O27" si="22">N27-O26</f>
        <v>#REF!</v>
      </c>
      <c r="P27" s="49" t="e">
        <f t="shared" ref="P27" si="23">O27-P26</f>
        <v>#REF!</v>
      </c>
      <c r="Q27" s="49" t="e">
        <f t="shared" ref="Q27" si="24">P27-Q26</f>
        <v>#REF!</v>
      </c>
      <c r="R27" s="49" t="e">
        <f t="shared" ref="R27" si="25">Q27-R26</f>
        <v>#REF!</v>
      </c>
      <c r="S27" s="49" t="e">
        <f t="shared" ref="S27" si="26">R27-S26</f>
        <v>#REF!</v>
      </c>
      <c r="T27" s="49" t="e">
        <f t="shared" ref="T27" si="27">S27-T26</f>
        <v>#REF!</v>
      </c>
      <c r="U27" s="49" t="e">
        <f t="shared" ref="U27" si="28">T27-U26</f>
        <v>#REF!</v>
      </c>
      <c r="V27" s="49" t="e">
        <f t="shared" ref="V27" si="29">U27-V26</f>
        <v>#REF!</v>
      </c>
      <c r="W27" s="49" t="e">
        <f>V27-W26</f>
        <v>#REF!</v>
      </c>
    </row>
    <row r="28" spans="1:23" ht="15">
      <c r="A28" s="41">
        <v>1.4</v>
      </c>
      <c r="B28" s="41" t="s">
        <v>107</v>
      </c>
      <c r="C28" s="45"/>
      <c r="D28" s="45"/>
      <c r="E28" s="45"/>
      <c r="F28" s="49"/>
      <c r="G28" s="49"/>
      <c r="H28" s="49"/>
      <c r="I28" s="49"/>
      <c r="J28" s="49"/>
      <c r="K28" s="49"/>
      <c r="L28" s="49"/>
      <c r="M28" s="49"/>
      <c r="N28" s="31"/>
      <c r="O28" s="31"/>
      <c r="P28" s="31"/>
      <c r="Q28" s="31"/>
      <c r="R28" s="31"/>
      <c r="S28" s="31"/>
      <c r="T28" s="31"/>
      <c r="U28" s="31"/>
      <c r="V28" s="31"/>
      <c r="W28" s="50" t="e">
        <f>W27+W8</f>
        <v>#REF!</v>
      </c>
    </row>
  </sheetData>
  <mergeCells count="1">
    <mergeCell ref="A1:W1"/>
  </mergeCells>
  <phoneticPr fontId="7" type="noConversion"/>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A1:W18"/>
  <sheetViews>
    <sheetView zoomScale="80" zoomScaleNormal="80" workbookViewId="0">
      <selection activeCell="F18" sqref="F18"/>
    </sheetView>
  </sheetViews>
  <sheetFormatPr defaultRowHeight="12.5"/>
  <cols>
    <col min="1" max="1" width="8.81640625" bestFit="1" customWidth="1"/>
    <col min="2" max="2" width="14.81640625" bestFit="1" customWidth="1"/>
    <col min="3" max="3" width="13.54296875" customWidth="1"/>
    <col min="4" max="5" width="8.81640625" bestFit="1" customWidth="1"/>
    <col min="6" max="17" width="11.1796875" bestFit="1" customWidth="1"/>
    <col min="18" max="23" width="10" bestFit="1" customWidth="1"/>
  </cols>
  <sheetData>
    <row r="1" spans="1:23" ht="21">
      <c r="A1" s="379" t="s">
        <v>108</v>
      </c>
      <c r="B1" s="379"/>
      <c r="C1" s="379"/>
      <c r="D1" s="379"/>
      <c r="E1" s="379"/>
      <c r="F1" s="379"/>
      <c r="G1" s="379"/>
      <c r="H1" s="379"/>
      <c r="I1" s="379"/>
      <c r="J1" s="379"/>
      <c r="K1" s="379"/>
      <c r="L1" s="379"/>
      <c r="M1" s="379"/>
      <c r="N1" s="379"/>
      <c r="O1" s="379"/>
      <c r="P1" s="379"/>
      <c r="Q1" s="379"/>
      <c r="R1" s="379"/>
      <c r="S1" s="379"/>
      <c r="T1" s="379"/>
      <c r="U1" s="379"/>
      <c r="V1" s="379"/>
      <c r="W1" s="379"/>
    </row>
    <row r="2" spans="1:23" ht="15">
      <c r="A2" s="33" t="s">
        <v>0</v>
      </c>
      <c r="B2" s="33" t="s">
        <v>6</v>
      </c>
      <c r="C2" s="33" t="s">
        <v>75</v>
      </c>
      <c r="D2" s="33">
        <v>1</v>
      </c>
      <c r="E2" s="33">
        <v>2</v>
      </c>
      <c r="F2" s="33">
        <v>3</v>
      </c>
      <c r="G2" s="33">
        <v>4</v>
      </c>
      <c r="H2" s="33">
        <v>5</v>
      </c>
      <c r="I2" s="33">
        <v>6</v>
      </c>
      <c r="J2" s="33">
        <v>7</v>
      </c>
      <c r="K2" s="33">
        <v>8</v>
      </c>
      <c r="L2" s="33">
        <v>9</v>
      </c>
      <c r="M2" s="33">
        <v>10</v>
      </c>
      <c r="N2" s="33">
        <v>11</v>
      </c>
      <c r="O2" s="33">
        <v>12</v>
      </c>
      <c r="P2" s="33">
        <v>13</v>
      </c>
      <c r="Q2" s="33">
        <v>14</v>
      </c>
      <c r="R2" s="33">
        <v>15</v>
      </c>
      <c r="S2" s="33">
        <v>16</v>
      </c>
      <c r="T2" s="33">
        <v>17</v>
      </c>
      <c r="U2" s="33">
        <v>18</v>
      </c>
      <c r="V2" s="33">
        <v>19</v>
      </c>
      <c r="W2" s="33">
        <v>20</v>
      </c>
    </row>
    <row r="3" spans="1:23" ht="15">
      <c r="A3" s="33"/>
      <c r="B3" s="33"/>
      <c r="C3" s="33" t="s">
        <v>76</v>
      </c>
      <c r="D3" s="33">
        <v>2021</v>
      </c>
      <c r="E3" s="33">
        <v>2022</v>
      </c>
      <c r="F3" s="33">
        <v>2023</v>
      </c>
      <c r="G3" s="33">
        <v>2024</v>
      </c>
      <c r="H3" s="33">
        <v>2025</v>
      </c>
      <c r="I3" s="33">
        <v>2026</v>
      </c>
      <c r="J3" s="33">
        <v>2027</v>
      </c>
      <c r="K3" s="33">
        <v>2028</v>
      </c>
      <c r="L3" s="33">
        <v>2029</v>
      </c>
      <c r="M3" s="33">
        <v>2030</v>
      </c>
      <c r="N3" s="33">
        <v>2031</v>
      </c>
      <c r="O3" s="33">
        <v>2032</v>
      </c>
      <c r="P3" s="33">
        <v>2033</v>
      </c>
      <c r="Q3" s="33">
        <v>2034</v>
      </c>
      <c r="R3" s="33">
        <v>2035</v>
      </c>
      <c r="S3" s="33">
        <v>2036</v>
      </c>
      <c r="T3" s="33">
        <v>2037</v>
      </c>
      <c r="U3" s="33">
        <v>2038</v>
      </c>
      <c r="V3" s="33">
        <v>2039</v>
      </c>
      <c r="W3" s="33">
        <v>2040</v>
      </c>
    </row>
    <row r="4" spans="1:23" ht="15.5">
      <c r="A4" s="41">
        <v>1</v>
      </c>
      <c r="B4" s="41" t="s">
        <v>454</v>
      </c>
      <c r="C4" s="41"/>
      <c r="D4" s="41"/>
      <c r="E4" s="41"/>
      <c r="F4" s="41"/>
      <c r="G4" s="41"/>
      <c r="H4" s="41"/>
      <c r="I4" s="41"/>
      <c r="J4" s="41"/>
      <c r="K4" s="41"/>
      <c r="L4" s="41"/>
      <c r="M4" s="41"/>
      <c r="N4" s="39"/>
      <c r="O4" s="39"/>
      <c r="P4" s="39"/>
      <c r="Q4" s="39"/>
      <c r="R4" s="39"/>
      <c r="S4" s="39"/>
      <c r="T4" s="39"/>
      <c r="U4" s="39"/>
      <c r="V4" s="39"/>
      <c r="W4" s="39"/>
    </row>
    <row r="5" spans="1:23" ht="15.5">
      <c r="A5" s="41">
        <v>1.1000000000000001</v>
      </c>
      <c r="B5" s="41" t="s">
        <v>104</v>
      </c>
      <c r="C5" s="43">
        <f>总投资估算表!F39</f>
        <v>10499.999999999998</v>
      </c>
      <c r="D5" s="42"/>
      <c r="E5" s="43"/>
      <c r="F5" s="43"/>
      <c r="G5" s="43"/>
      <c r="H5" s="43"/>
      <c r="I5" s="43"/>
      <c r="J5" s="43"/>
      <c r="K5" s="43"/>
      <c r="L5" s="43"/>
      <c r="M5" s="43"/>
      <c r="N5" s="39"/>
      <c r="O5" s="39"/>
      <c r="P5" s="39"/>
      <c r="Q5" s="39"/>
      <c r="R5" s="39"/>
      <c r="S5" s="39"/>
      <c r="T5" s="39"/>
      <c r="U5" s="39"/>
      <c r="V5" s="39"/>
      <c r="W5" s="39"/>
    </row>
    <row r="6" spans="1:23" ht="15">
      <c r="A6" s="41">
        <v>1.2</v>
      </c>
      <c r="B6" s="41" t="s">
        <v>109</v>
      </c>
      <c r="C6" s="43">
        <f>C5*0.95/40</f>
        <v>249.37499999999994</v>
      </c>
      <c r="D6" s="41"/>
      <c r="E6" s="41"/>
      <c r="F6" s="44">
        <f>C6</f>
        <v>249.37499999999994</v>
      </c>
      <c r="G6" s="44">
        <f>F6</f>
        <v>249.37499999999994</v>
      </c>
      <c r="H6" s="44">
        <f t="shared" ref="H6:W6" si="0">G6</f>
        <v>249.37499999999994</v>
      </c>
      <c r="I6" s="44">
        <f t="shared" si="0"/>
        <v>249.37499999999994</v>
      </c>
      <c r="J6" s="44">
        <f t="shared" si="0"/>
        <v>249.37499999999994</v>
      </c>
      <c r="K6" s="44">
        <f t="shared" si="0"/>
        <v>249.37499999999994</v>
      </c>
      <c r="L6" s="44">
        <f t="shared" si="0"/>
        <v>249.37499999999994</v>
      </c>
      <c r="M6" s="44">
        <f t="shared" si="0"/>
        <v>249.37499999999994</v>
      </c>
      <c r="N6" s="44">
        <f t="shared" si="0"/>
        <v>249.37499999999994</v>
      </c>
      <c r="O6" s="44">
        <f t="shared" si="0"/>
        <v>249.37499999999994</v>
      </c>
      <c r="P6" s="44">
        <f t="shared" si="0"/>
        <v>249.37499999999994</v>
      </c>
      <c r="Q6" s="44">
        <f t="shared" si="0"/>
        <v>249.37499999999994</v>
      </c>
      <c r="R6" s="44">
        <f t="shared" si="0"/>
        <v>249.37499999999994</v>
      </c>
      <c r="S6" s="44">
        <f t="shared" si="0"/>
        <v>249.37499999999994</v>
      </c>
      <c r="T6" s="44">
        <f t="shared" si="0"/>
        <v>249.37499999999994</v>
      </c>
      <c r="U6" s="44">
        <f t="shared" si="0"/>
        <v>249.37499999999994</v>
      </c>
      <c r="V6" s="44">
        <f t="shared" si="0"/>
        <v>249.37499999999994</v>
      </c>
      <c r="W6" s="44">
        <f t="shared" si="0"/>
        <v>249.37499999999994</v>
      </c>
    </row>
    <row r="7" spans="1:23" ht="15">
      <c r="A7" s="45">
        <v>1.3</v>
      </c>
      <c r="B7" s="45" t="s">
        <v>106</v>
      </c>
      <c r="C7" s="45"/>
      <c r="D7" s="45"/>
      <c r="E7" s="45"/>
      <c r="F7" s="49">
        <f>C5-F6</f>
        <v>10250.624999999998</v>
      </c>
      <c r="G7" s="49">
        <f>F7-G6</f>
        <v>10001.249999999998</v>
      </c>
      <c r="H7" s="49">
        <f t="shared" ref="H7:W7" si="1">G7-H6</f>
        <v>9751.8749999999982</v>
      </c>
      <c r="I7" s="49">
        <f t="shared" si="1"/>
        <v>9502.4999999999982</v>
      </c>
      <c r="J7" s="49">
        <f t="shared" si="1"/>
        <v>9253.1249999999982</v>
      </c>
      <c r="K7" s="49">
        <f t="shared" si="1"/>
        <v>9003.7499999999982</v>
      </c>
      <c r="L7" s="49">
        <f t="shared" si="1"/>
        <v>8754.3749999999982</v>
      </c>
      <c r="M7" s="49">
        <f t="shared" si="1"/>
        <v>8504.9999999999982</v>
      </c>
      <c r="N7" s="49">
        <f t="shared" si="1"/>
        <v>8255.6249999999982</v>
      </c>
      <c r="O7" s="49">
        <f t="shared" si="1"/>
        <v>8006.2499999999982</v>
      </c>
      <c r="P7" s="49">
        <f t="shared" si="1"/>
        <v>7756.8749999999982</v>
      </c>
      <c r="Q7" s="49">
        <f t="shared" si="1"/>
        <v>7507.4999999999982</v>
      </c>
      <c r="R7" s="49">
        <f t="shared" si="1"/>
        <v>7258.1249999999982</v>
      </c>
      <c r="S7" s="49">
        <f t="shared" si="1"/>
        <v>7008.7499999999982</v>
      </c>
      <c r="T7" s="49">
        <f t="shared" si="1"/>
        <v>6759.3749999999982</v>
      </c>
      <c r="U7" s="49">
        <f t="shared" si="1"/>
        <v>6509.9999999999982</v>
      </c>
      <c r="V7" s="49">
        <f t="shared" si="1"/>
        <v>6260.6249999999982</v>
      </c>
      <c r="W7" s="49">
        <f t="shared" si="1"/>
        <v>6011.2499999999982</v>
      </c>
    </row>
    <row r="8" spans="1:23" ht="15">
      <c r="A8" s="45">
        <v>1.4</v>
      </c>
      <c r="B8" s="45" t="s">
        <v>107</v>
      </c>
      <c r="C8" s="45"/>
      <c r="D8" s="45"/>
      <c r="E8" s="45"/>
      <c r="F8" s="49"/>
      <c r="G8" s="49"/>
      <c r="H8" s="49"/>
      <c r="I8" s="49"/>
      <c r="J8" s="49"/>
      <c r="K8" s="49"/>
      <c r="L8" s="49"/>
      <c r="M8" s="49"/>
      <c r="N8" s="31"/>
      <c r="O8" s="31"/>
      <c r="P8" s="31"/>
      <c r="Q8" s="31"/>
      <c r="R8" s="31"/>
      <c r="S8" s="31"/>
      <c r="T8" s="31"/>
      <c r="U8" s="31"/>
      <c r="V8" s="31"/>
      <c r="W8" s="50">
        <f>W7</f>
        <v>6011.2499999999982</v>
      </c>
    </row>
    <row r="9" spans="1:23" ht="15.5">
      <c r="A9" s="41">
        <v>2</v>
      </c>
      <c r="B9" s="41" t="s">
        <v>455</v>
      </c>
      <c r="C9" s="41"/>
      <c r="D9" s="41"/>
      <c r="E9" s="41"/>
      <c r="F9" s="41"/>
      <c r="G9" s="41"/>
      <c r="H9" s="41"/>
      <c r="I9" s="41"/>
      <c r="J9" s="41"/>
      <c r="K9" s="41"/>
      <c r="L9" s="41"/>
      <c r="M9" s="41"/>
      <c r="N9" s="39"/>
      <c r="O9" s="39"/>
      <c r="P9" s="39"/>
      <c r="Q9" s="39"/>
      <c r="R9" s="39"/>
      <c r="S9" s="39"/>
      <c r="T9" s="39"/>
      <c r="U9" s="39"/>
      <c r="V9" s="39"/>
      <c r="W9" s="39"/>
    </row>
    <row r="10" spans="1:23" ht="15.5">
      <c r="A10" s="41">
        <v>2.1</v>
      </c>
      <c r="B10" s="41" t="s">
        <v>104</v>
      </c>
      <c r="C10" s="43">
        <f>总投资估算表!F9+总投资估算表!F6</f>
        <v>41125</v>
      </c>
      <c r="D10" s="42"/>
      <c r="E10" s="43"/>
      <c r="F10" s="43"/>
      <c r="G10" s="43"/>
      <c r="H10" s="43"/>
      <c r="I10" s="43"/>
      <c r="J10" s="43"/>
      <c r="K10" s="43"/>
      <c r="L10" s="43"/>
      <c r="M10" s="43"/>
      <c r="N10" s="39"/>
      <c r="O10" s="39"/>
      <c r="P10" s="39"/>
      <c r="Q10" s="39"/>
      <c r="R10" s="39"/>
      <c r="S10" s="39"/>
      <c r="T10" s="39"/>
      <c r="U10" s="39"/>
      <c r="V10" s="39"/>
      <c r="W10" s="39"/>
    </row>
    <row r="11" spans="1:23" ht="15">
      <c r="A11" s="41">
        <v>2.2000000000000002</v>
      </c>
      <c r="B11" s="41" t="s">
        <v>109</v>
      </c>
      <c r="C11" s="43">
        <f>C10/10</f>
        <v>4112.5</v>
      </c>
      <c r="D11" s="41"/>
      <c r="E11" s="41"/>
      <c r="F11" s="44">
        <f>C11</f>
        <v>4112.5</v>
      </c>
      <c r="G11" s="44">
        <f>F11</f>
        <v>4112.5</v>
      </c>
      <c r="H11" s="44">
        <f t="shared" ref="H11:O11" si="2">G11</f>
        <v>4112.5</v>
      </c>
      <c r="I11" s="44">
        <f t="shared" si="2"/>
        <v>4112.5</v>
      </c>
      <c r="J11" s="44">
        <f t="shared" si="2"/>
        <v>4112.5</v>
      </c>
      <c r="K11" s="44">
        <f t="shared" si="2"/>
        <v>4112.5</v>
      </c>
      <c r="L11" s="44">
        <f t="shared" si="2"/>
        <v>4112.5</v>
      </c>
      <c r="M11" s="44">
        <f t="shared" si="2"/>
        <v>4112.5</v>
      </c>
      <c r="N11" s="44">
        <f t="shared" si="2"/>
        <v>4112.5</v>
      </c>
      <c r="O11" s="44">
        <f t="shared" si="2"/>
        <v>4112.5</v>
      </c>
      <c r="P11" s="44"/>
      <c r="Q11" s="44"/>
      <c r="R11" s="44"/>
      <c r="S11" s="44"/>
      <c r="T11" s="44"/>
      <c r="U11" s="44"/>
      <c r="V11" s="44"/>
      <c r="W11" s="44"/>
    </row>
    <row r="12" spans="1:23" ht="15">
      <c r="A12" s="45">
        <v>2.2999999999999998</v>
      </c>
      <c r="B12" s="45" t="s">
        <v>106</v>
      </c>
      <c r="C12" s="45"/>
      <c r="D12" s="45"/>
      <c r="E12" s="45"/>
      <c r="F12" s="49">
        <f>C10-F11</f>
        <v>37012.5</v>
      </c>
      <c r="G12" s="49">
        <f>F12-G11</f>
        <v>32900</v>
      </c>
      <c r="H12" s="49">
        <f t="shared" ref="H12" si="3">G12-H11</f>
        <v>28787.5</v>
      </c>
      <c r="I12" s="49">
        <f t="shared" ref="I12" si="4">H12-I11</f>
        <v>24675</v>
      </c>
      <c r="J12" s="49">
        <f t="shared" ref="J12" si="5">I12-J11</f>
        <v>20562.5</v>
      </c>
      <c r="K12" s="49">
        <f t="shared" ref="K12" si="6">J12-K11</f>
        <v>16450</v>
      </c>
      <c r="L12" s="49">
        <f t="shared" ref="L12" si="7">K12-L11</f>
        <v>12337.5</v>
      </c>
      <c r="M12" s="49">
        <f t="shared" ref="M12" si="8">L12-M11</f>
        <v>8225</v>
      </c>
      <c r="N12" s="49">
        <f t="shared" ref="N12" si="9">M12-N11</f>
        <v>4112.5</v>
      </c>
      <c r="O12" s="49">
        <f t="shared" ref="O12" si="10">N12-O11</f>
        <v>0</v>
      </c>
      <c r="P12" s="49"/>
      <c r="Q12" s="49"/>
      <c r="R12" s="49"/>
      <c r="S12" s="49"/>
      <c r="T12" s="49"/>
      <c r="U12" s="49"/>
      <c r="V12" s="49"/>
      <c r="W12" s="49"/>
    </row>
    <row r="13" spans="1:23" ht="15">
      <c r="A13" s="45">
        <v>2.4</v>
      </c>
      <c r="B13" s="45" t="s">
        <v>107</v>
      </c>
      <c r="C13" s="45"/>
      <c r="D13" s="45"/>
      <c r="E13" s="45"/>
      <c r="F13" s="49"/>
      <c r="G13" s="49"/>
      <c r="H13" s="49"/>
      <c r="I13" s="49"/>
      <c r="J13" s="49"/>
      <c r="K13" s="49"/>
      <c r="L13" s="49"/>
      <c r="M13" s="49"/>
      <c r="N13" s="31"/>
      <c r="O13" s="31"/>
      <c r="P13" s="31"/>
      <c r="Q13" s="31"/>
      <c r="R13" s="31"/>
      <c r="S13" s="31"/>
      <c r="T13" s="31"/>
      <c r="U13" s="31"/>
      <c r="V13" s="31"/>
      <c r="W13" s="50"/>
    </row>
    <row r="14" spans="1:23" ht="15.5">
      <c r="A14" s="41">
        <v>3</v>
      </c>
      <c r="B14" s="41" t="s">
        <v>536</v>
      </c>
      <c r="C14" s="41"/>
      <c r="D14" s="41"/>
      <c r="E14" s="41"/>
      <c r="F14" s="41"/>
      <c r="G14" s="41"/>
      <c r="H14" s="41"/>
      <c r="I14" s="41"/>
      <c r="J14" s="41"/>
      <c r="K14" s="41"/>
      <c r="L14" s="41"/>
      <c r="M14" s="41"/>
      <c r="N14" s="39"/>
      <c r="O14" s="39"/>
      <c r="P14" s="39"/>
      <c r="Q14" s="39"/>
      <c r="R14" s="39"/>
      <c r="S14" s="39"/>
      <c r="T14" s="39"/>
      <c r="U14" s="39"/>
      <c r="V14" s="39"/>
      <c r="W14" s="39"/>
    </row>
    <row r="15" spans="1:23" ht="15.5">
      <c r="A15" s="41">
        <v>3.1</v>
      </c>
      <c r="B15" s="41" t="s">
        <v>104</v>
      </c>
      <c r="C15" s="43" t="e">
        <f>总投资估算表!F17</f>
        <v>#REF!</v>
      </c>
      <c r="D15" s="42"/>
      <c r="E15" s="43"/>
      <c r="F15" s="43"/>
      <c r="G15" s="43"/>
      <c r="H15" s="43"/>
      <c r="I15" s="43"/>
      <c r="J15" s="43"/>
      <c r="K15" s="43"/>
      <c r="L15" s="43"/>
      <c r="M15" s="43"/>
      <c r="N15" s="39"/>
      <c r="O15" s="39"/>
      <c r="P15" s="39"/>
      <c r="Q15" s="39"/>
      <c r="R15" s="39"/>
      <c r="S15" s="39"/>
      <c r="T15" s="39"/>
      <c r="U15" s="39"/>
      <c r="V15" s="39"/>
      <c r="W15" s="39"/>
    </row>
    <row r="16" spans="1:23" ht="15">
      <c r="A16" s="41">
        <v>3.2</v>
      </c>
      <c r="B16" s="41" t="s">
        <v>109</v>
      </c>
      <c r="C16" s="43" t="e">
        <f>SUM(D16:M16)</f>
        <v>#REF!</v>
      </c>
      <c r="D16" s="41"/>
      <c r="E16" s="41"/>
      <c r="F16" s="44" t="e">
        <f>C15*95%/10</f>
        <v>#REF!</v>
      </c>
      <c r="G16" s="44" t="e">
        <f>F16</f>
        <v>#REF!</v>
      </c>
      <c r="H16" s="44" t="e">
        <f t="shared" ref="H16" si="11">G16</f>
        <v>#REF!</v>
      </c>
      <c r="I16" s="44" t="e">
        <f t="shared" ref="I16" si="12">H16</f>
        <v>#REF!</v>
      </c>
      <c r="J16" s="44" t="e">
        <f t="shared" ref="J16" si="13">I16</f>
        <v>#REF!</v>
      </c>
      <c r="K16" s="44" t="e">
        <f t="shared" ref="K16" si="14">J16</f>
        <v>#REF!</v>
      </c>
      <c r="L16" s="44" t="e">
        <f t="shared" ref="L16" si="15">K16</f>
        <v>#REF!</v>
      </c>
      <c r="M16" s="44" t="e">
        <f t="shared" ref="M16" si="16">L16</f>
        <v>#REF!</v>
      </c>
      <c r="N16" s="44" t="e">
        <f t="shared" ref="N16" si="17">M16</f>
        <v>#REF!</v>
      </c>
      <c r="O16" s="44" t="e">
        <f t="shared" ref="O16" si="18">N16</f>
        <v>#REF!</v>
      </c>
      <c r="P16" s="44"/>
      <c r="Q16" s="44"/>
      <c r="R16" s="44"/>
      <c r="S16" s="44"/>
      <c r="T16" s="44"/>
      <c r="U16" s="44"/>
      <c r="V16" s="44"/>
      <c r="W16" s="44"/>
    </row>
    <row r="17" spans="1:23" ht="15">
      <c r="A17" s="45">
        <v>3.3</v>
      </c>
      <c r="B17" s="45" t="s">
        <v>106</v>
      </c>
      <c r="C17" s="45"/>
      <c r="D17" s="45"/>
      <c r="E17" s="45"/>
      <c r="F17" s="49" t="e">
        <f>C15-F16</f>
        <v>#REF!</v>
      </c>
      <c r="G17" s="49" t="e">
        <f>F17-G16</f>
        <v>#REF!</v>
      </c>
      <c r="H17" s="49" t="e">
        <f t="shared" ref="H17" si="19">G17-H16</f>
        <v>#REF!</v>
      </c>
      <c r="I17" s="49" t="e">
        <f t="shared" ref="I17" si="20">H17-I16</f>
        <v>#REF!</v>
      </c>
      <c r="J17" s="49" t="e">
        <f t="shared" ref="J17" si="21">I17-J16</f>
        <v>#REF!</v>
      </c>
      <c r="K17" s="49" t="e">
        <f t="shared" ref="K17" si="22">J17-K16</f>
        <v>#REF!</v>
      </c>
      <c r="L17" s="49" t="e">
        <f t="shared" ref="L17" si="23">K17-L16</f>
        <v>#REF!</v>
      </c>
      <c r="M17" s="49" t="e">
        <f t="shared" ref="M17" si="24">L17-M16</f>
        <v>#REF!</v>
      </c>
      <c r="N17" s="49" t="e">
        <f t="shared" ref="N17" si="25">M17-N16</f>
        <v>#REF!</v>
      </c>
      <c r="O17" s="49" t="e">
        <f t="shared" ref="O17" si="26">N17-O16</f>
        <v>#REF!</v>
      </c>
      <c r="P17" s="49"/>
      <c r="Q17" s="49"/>
      <c r="R17" s="49"/>
      <c r="S17" s="49"/>
      <c r="T17" s="49"/>
      <c r="U17" s="49"/>
      <c r="V17" s="49"/>
      <c r="W17" s="49"/>
    </row>
    <row r="18" spans="1:23" ht="15">
      <c r="A18" s="45">
        <v>3.4</v>
      </c>
      <c r="B18" s="45" t="s">
        <v>107</v>
      </c>
      <c r="C18" s="45"/>
      <c r="D18" s="45"/>
      <c r="E18" s="45"/>
      <c r="F18" s="49"/>
      <c r="G18" s="49"/>
      <c r="H18" s="49"/>
      <c r="I18" s="49"/>
      <c r="J18" s="49"/>
      <c r="K18" s="49"/>
      <c r="L18" s="49"/>
      <c r="M18" s="49"/>
      <c r="N18" s="31"/>
      <c r="O18" s="31"/>
      <c r="P18" s="31"/>
      <c r="Q18" s="31"/>
      <c r="R18" s="31"/>
      <c r="S18" s="31"/>
      <c r="T18" s="31"/>
      <c r="U18" s="31"/>
      <c r="V18" s="31"/>
      <c r="W18" s="50"/>
    </row>
  </sheetData>
  <mergeCells count="1">
    <mergeCell ref="A1:W1"/>
  </mergeCells>
  <phoneticPr fontId="7" type="noConversion"/>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W12"/>
  <sheetViews>
    <sheetView topLeftCell="C1" workbookViewId="0">
      <selection activeCell="Q24" sqref="Q24"/>
    </sheetView>
  </sheetViews>
  <sheetFormatPr defaultRowHeight="12.5"/>
  <cols>
    <col min="2" max="2" width="30.1796875" bestFit="1" customWidth="1"/>
    <col min="3" max="4" width="12.1796875" bestFit="1" customWidth="1"/>
    <col min="5" max="23" width="11.1796875" bestFit="1" customWidth="1"/>
  </cols>
  <sheetData>
    <row r="1" spans="1:23" ht="21">
      <c r="A1" s="379" t="s">
        <v>87</v>
      </c>
      <c r="B1" s="379"/>
      <c r="C1" s="379"/>
      <c r="D1" s="379"/>
      <c r="E1" s="379"/>
      <c r="F1" s="379"/>
      <c r="G1" s="379"/>
      <c r="H1" s="379"/>
      <c r="I1" s="379"/>
      <c r="J1" s="379"/>
      <c r="K1" s="379"/>
      <c r="L1" s="379"/>
      <c r="M1" s="379"/>
      <c r="N1" s="379"/>
      <c r="O1" s="379"/>
      <c r="P1" s="379"/>
      <c r="Q1" s="379"/>
      <c r="R1" s="379"/>
      <c r="S1" s="379"/>
      <c r="T1" s="379"/>
      <c r="U1" s="379"/>
      <c r="V1" s="379"/>
      <c r="W1" s="379"/>
    </row>
    <row r="2" spans="1:23" s="11" customFormat="1" ht="15">
      <c r="A2" s="32"/>
      <c r="B2" s="32"/>
      <c r="C2" s="29" t="s">
        <v>110</v>
      </c>
      <c r="D2" s="29">
        <v>1</v>
      </c>
      <c r="E2" s="29">
        <v>2</v>
      </c>
      <c r="F2" s="29">
        <v>3</v>
      </c>
      <c r="G2" s="29">
        <v>4</v>
      </c>
      <c r="H2" s="29">
        <v>5</v>
      </c>
      <c r="I2" s="29">
        <v>6</v>
      </c>
      <c r="J2" s="29">
        <v>7</v>
      </c>
      <c r="K2" s="29">
        <v>8</v>
      </c>
      <c r="L2" s="29">
        <v>9</v>
      </c>
      <c r="M2" s="29">
        <v>10</v>
      </c>
      <c r="N2" s="29">
        <v>11</v>
      </c>
      <c r="O2" s="29">
        <v>12</v>
      </c>
      <c r="P2" s="29">
        <v>13</v>
      </c>
      <c r="Q2" s="29">
        <v>14</v>
      </c>
      <c r="R2" s="29">
        <v>15</v>
      </c>
      <c r="S2" s="29">
        <v>16</v>
      </c>
      <c r="T2" s="29">
        <v>17</v>
      </c>
      <c r="U2" s="29">
        <v>18</v>
      </c>
      <c r="V2" s="29">
        <v>19</v>
      </c>
      <c r="W2" s="29">
        <v>20</v>
      </c>
    </row>
    <row r="3" spans="1:23" s="11" customFormat="1" ht="15">
      <c r="A3" s="32"/>
      <c r="B3" s="32"/>
      <c r="C3" s="29" t="s">
        <v>101</v>
      </c>
      <c r="D3" s="51">
        <v>2021</v>
      </c>
      <c r="E3" s="51">
        <v>2022</v>
      </c>
      <c r="F3" s="51">
        <v>2023</v>
      </c>
      <c r="G3" s="51">
        <v>2024</v>
      </c>
      <c r="H3" s="51">
        <v>2025</v>
      </c>
      <c r="I3" s="51">
        <v>2026</v>
      </c>
      <c r="J3" s="51">
        <v>2027</v>
      </c>
      <c r="K3" s="51">
        <v>2028</v>
      </c>
      <c r="L3" s="51">
        <v>2029</v>
      </c>
      <c r="M3" s="51">
        <v>2030</v>
      </c>
      <c r="N3" s="51">
        <v>2031</v>
      </c>
      <c r="O3" s="51">
        <v>2032</v>
      </c>
      <c r="P3" s="51">
        <v>2033</v>
      </c>
      <c r="Q3" s="51">
        <v>2034</v>
      </c>
      <c r="R3" s="51">
        <v>2035</v>
      </c>
      <c r="S3" s="51">
        <v>2036</v>
      </c>
      <c r="T3" s="51">
        <v>2037</v>
      </c>
      <c r="U3" s="51">
        <v>2038</v>
      </c>
      <c r="V3" s="51">
        <v>2039</v>
      </c>
      <c r="W3" s="51">
        <v>2040</v>
      </c>
    </row>
    <row r="4" spans="1:23" ht="15">
      <c r="A4" s="52">
        <v>1</v>
      </c>
      <c r="B4" s="52" t="s">
        <v>77</v>
      </c>
      <c r="C4" s="53"/>
      <c r="D4" s="1"/>
      <c r="E4" s="1"/>
      <c r="F4" s="1"/>
      <c r="G4" s="1"/>
      <c r="H4" s="1"/>
      <c r="I4" s="1"/>
      <c r="J4" s="1"/>
      <c r="K4" s="1"/>
      <c r="L4" s="1"/>
      <c r="M4" s="1"/>
      <c r="N4" s="1"/>
      <c r="O4" s="1"/>
      <c r="P4" s="1"/>
      <c r="Q4" s="1"/>
      <c r="R4" s="1"/>
      <c r="S4" s="1"/>
      <c r="T4" s="1"/>
      <c r="U4" s="1"/>
      <c r="V4" s="1"/>
      <c r="W4" s="1"/>
    </row>
    <row r="5" spans="1:23" ht="15">
      <c r="A5" s="54">
        <v>1.1000000000000001</v>
      </c>
      <c r="B5" s="52" t="s">
        <v>78</v>
      </c>
      <c r="C5" s="55"/>
      <c r="D5" s="62"/>
      <c r="E5" s="63"/>
      <c r="F5" s="63"/>
      <c r="G5" s="63"/>
      <c r="H5" s="63"/>
      <c r="I5" s="63"/>
      <c r="J5" s="63"/>
      <c r="K5" s="63"/>
      <c r="L5" s="63"/>
      <c r="M5" s="63"/>
      <c r="N5" s="63"/>
      <c r="O5" s="63"/>
      <c r="P5" s="63"/>
      <c r="Q5" s="63"/>
      <c r="R5" s="63"/>
      <c r="S5" s="63"/>
      <c r="T5" s="63"/>
      <c r="U5" s="63"/>
      <c r="V5" s="63"/>
      <c r="W5" s="63"/>
    </row>
    <row r="6" spans="1:23" ht="15">
      <c r="A6" s="54">
        <v>1.2</v>
      </c>
      <c r="B6" s="54" t="s">
        <v>79</v>
      </c>
      <c r="C6" s="56"/>
      <c r="D6" s="57"/>
      <c r="E6" s="57"/>
      <c r="F6" s="57"/>
      <c r="G6" s="57"/>
      <c r="H6" s="57"/>
      <c r="I6" s="57"/>
      <c r="J6" s="57"/>
      <c r="K6" s="57"/>
      <c r="L6" s="57"/>
      <c r="M6" s="57"/>
      <c r="N6" s="57"/>
      <c r="O6" s="57"/>
      <c r="P6" s="57"/>
      <c r="Q6" s="57"/>
      <c r="R6" s="57"/>
      <c r="S6" s="57"/>
      <c r="T6" s="57"/>
      <c r="U6" s="57"/>
      <c r="V6" s="57"/>
      <c r="W6" s="57"/>
    </row>
    <row r="7" spans="1:23" ht="15">
      <c r="A7" s="54">
        <v>1.3</v>
      </c>
      <c r="B7" s="54" t="s">
        <v>80</v>
      </c>
      <c r="C7" s="55"/>
      <c r="D7" s="63"/>
      <c r="E7" s="63"/>
      <c r="F7" s="63"/>
      <c r="G7" s="63"/>
      <c r="H7" s="63"/>
      <c r="I7" s="63"/>
      <c r="J7" s="63"/>
      <c r="K7" s="63"/>
      <c r="L7" s="63"/>
      <c r="M7" s="63"/>
      <c r="N7" s="63"/>
      <c r="O7" s="63"/>
      <c r="P7" s="63"/>
      <c r="Q7" s="63"/>
      <c r="R7" s="63"/>
      <c r="S7" s="63"/>
      <c r="T7" s="63"/>
      <c r="U7" s="63"/>
      <c r="V7" s="63"/>
      <c r="W7" s="63"/>
    </row>
    <row r="8" spans="1:23" ht="15">
      <c r="A8" s="58">
        <v>1.4</v>
      </c>
      <c r="B8" s="59" t="s">
        <v>81</v>
      </c>
      <c r="C8" s="60"/>
      <c r="D8" s="64"/>
      <c r="E8" s="64"/>
      <c r="F8" s="64"/>
      <c r="G8" s="64"/>
      <c r="H8" s="64"/>
      <c r="I8" s="64"/>
      <c r="J8" s="64"/>
      <c r="K8" s="64"/>
      <c r="L8" s="64"/>
      <c r="M8" s="64"/>
      <c r="N8" s="64"/>
      <c r="O8" s="64"/>
      <c r="P8" s="64"/>
      <c r="Q8" s="64"/>
      <c r="R8" s="64"/>
      <c r="S8" s="64"/>
      <c r="T8" s="64"/>
      <c r="U8" s="64"/>
      <c r="V8" s="64"/>
      <c r="W8" s="64"/>
    </row>
    <row r="9" spans="1:23" ht="15">
      <c r="A9" s="58" t="s">
        <v>82</v>
      </c>
      <c r="B9" s="58" t="s">
        <v>83</v>
      </c>
      <c r="C9" s="60"/>
      <c r="D9" s="64"/>
      <c r="E9" s="64"/>
      <c r="F9" s="64"/>
      <c r="G9" s="64"/>
      <c r="H9" s="64"/>
      <c r="I9" s="64"/>
      <c r="J9" s="64"/>
      <c r="K9" s="64"/>
      <c r="L9" s="64"/>
      <c r="M9" s="64"/>
      <c r="N9" s="64"/>
      <c r="O9" s="64"/>
      <c r="P9" s="64"/>
      <c r="Q9" s="64"/>
      <c r="R9" s="64"/>
      <c r="S9" s="64"/>
      <c r="T9" s="64"/>
      <c r="U9" s="64"/>
      <c r="V9" s="64"/>
      <c r="W9" s="64"/>
    </row>
    <row r="10" spans="1:23" ht="15">
      <c r="A10" s="54" t="s">
        <v>84</v>
      </c>
      <c r="B10" s="54" t="s">
        <v>85</v>
      </c>
      <c r="C10" s="55"/>
      <c r="D10" s="63"/>
      <c r="E10" s="63"/>
      <c r="F10" s="63"/>
      <c r="G10" s="63"/>
      <c r="H10" s="63"/>
      <c r="I10" s="63"/>
      <c r="J10" s="63"/>
      <c r="K10" s="63"/>
      <c r="L10" s="63"/>
      <c r="M10" s="63"/>
      <c r="N10" s="63"/>
      <c r="O10" s="63"/>
      <c r="P10" s="63"/>
      <c r="Q10" s="63"/>
      <c r="R10" s="63"/>
      <c r="S10" s="63"/>
      <c r="T10" s="63"/>
      <c r="U10" s="63"/>
      <c r="V10" s="63"/>
      <c r="W10" s="63"/>
    </row>
    <row r="11" spans="1:23" ht="15">
      <c r="A11" s="54">
        <v>1.5</v>
      </c>
      <c r="B11" s="54" t="s">
        <v>86</v>
      </c>
      <c r="C11" s="55"/>
      <c r="D11" s="63"/>
      <c r="E11" s="63"/>
      <c r="F11" s="63"/>
      <c r="G11" s="63"/>
      <c r="H11" s="63"/>
      <c r="I11" s="63"/>
      <c r="J11" s="63"/>
      <c r="K11" s="63"/>
      <c r="L11" s="63"/>
      <c r="M11" s="63"/>
      <c r="N11" s="63"/>
      <c r="O11" s="63"/>
      <c r="P11" s="63"/>
      <c r="Q11" s="63"/>
      <c r="R11" s="63"/>
      <c r="S11" s="63"/>
      <c r="T11" s="63"/>
      <c r="U11" s="63"/>
      <c r="V11" s="63"/>
      <c r="W11" s="63"/>
    </row>
    <row r="12" spans="1:23" ht="15">
      <c r="A12" s="61"/>
      <c r="B12" s="61"/>
      <c r="C12" s="61"/>
      <c r="D12" s="61"/>
      <c r="E12" s="61"/>
      <c r="F12" s="61"/>
      <c r="G12" s="61"/>
      <c r="H12" s="61"/>
      <c r="I12" s="61"/>
      <c r="J12" s="61"/>
      <c r="K12" s="61"/>
      <c r="L12" s="61"/>
      <c r="M12" s="61"/>
      <c r="N12" s="61"/>
      <c r="O12" s="61"/>
      <c r="P12" s="61"/>
      <c r="Q12" s="61"/>
      <c r="R12" s="61"/>
      <c r="S12" s="61"/>
      <c r="T12" s="61"/>
      <c r="U12" s="61"/>
      <c r="V12" s="61"/>
      <c r="W12" s="61"/>
    </row>
  </sheetData>
  <mergeCells count="1">
    <mergeCell ref="A1:W1"/>
  </mergeCells>
  <phoneticPr fontId="7" type="noConversion"/>
  <pageMargins left="0.7" right="0.7" top="0.75" bottom="0.75" header="0.3" footer="0.3"/>
  <pageSetup paperSize="9" orientation="portrait"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V14"/>
  <sheetViews>
    <sheetView zoomScale="80" zoomScaleNormal="80" workbookViewId="0">
      <selection activeCell="F18" sqref="F18"/>
    </sheetView>
  </sheetViews>
  <sheetFormatPr defaultRowHeight="12.5"/>
  <cols>
    <col min="1" max="1" width="8.81640625" bestFit="1" customWidth="1"/>
    <col min="2" max="2" width="19.453125" bestFit="1" customWidth="1"/>
    <col min="3" max="5" width="11.1796875" bestFit="1" customWidth="1"/>
    <col min="6" max="22" width="12" bestFit="1" customWidth="1"/>
  </cols>
  <sheetData>
    <row r="1" spans="1:22" ht="21">
      <c r="A1" s="379" t="s">
        <v>111</v>
      </c>
      <c r="B1" s="379"/>
      <c r="C1" s="379"/>
      <c r="D1" s="379"/>
      <c r="E1" s="379"/>
      <c r="F1" s="379"/>
      <c r="G1" s="379"/>
      <c r="H1" s="379"/>
      <c r="I1" s="379"/>
      <c r="J1" s="379"/>
      <c r="K1" s="379"/>
      <c r="L1" s="379"/>
      <c r="M1" s="379"/>
      <c r="N1" s="379"/>
      <c r="O1" s="379"/>
      <c r="P1" s="379"/>
      <c r="Q1" s="379"/>
      <c r="R1" s="379"/>
      <c r="S1" s="379"/>
      <c r="T1" s="379"/>
      <c r="U1" s="379"/>
      <c r="V1" s="379"/>
    </row>
    <row r="2" spans="1:22" s="11" customFormat="1" ht="15">
      <c r="A2" s="404" t="s">
        <v>0</v>
      </c>
      <c r="B2" s="404" t="s">
        <v>6</v>
      </c>
      <c r="C2" s="405" t="s">
        <v>57</v>
      </c>
      <c r="D2" s="406"/>
      <c r="E2" s="405" t="s">
        <v>59</v>
      </c>
      <c r="F2" s="407"/>
      <c r="G2" s="407"/>
      <c r="H2" s="407"/>
      <c r="I2" s="407"/>
      <c r="J2" s="407"/>
      <c r="K2" s="407"/>
      <c r="L2" s="407"/>
      <c r="M2" s="407"/>
      <c r="N2" s="407"/>
      <c r="O2" s="407"/>
      <c r="P2" s="407"/>
      <c r="Q2" s="407"/>
      <c r="R2" s="407"/>
      <c r="S2" s="407"/>
      <c r="T2" s="407"/>
      <c r="U2" s="407"/>
      <c r="V2" s="406"/>
    </row>
    <row r="3" spans="1:22" s="11" customFormat="1" ht="15">
      <c r="A3" s="404"/>
      <c r="B3" s="404"/>
      <c r="C3" s="65">
        <v>2021</v>
      </c>
      <c r="D3" s="65">
        <v>2022</v>
      </c>
      <c r="E3" s="65">
        <v>2023</v>
      </c>
      <c r="F3" s="65">
        <v>2024</v>
      </c>
      <c r="G3" s="65">
        <v>2025</v>
      </c>
      <c r="H3" s="65">
        <v>2026</v>
      </c>
      <c r="I3" s="65">
        <v>2027</v>
      </c>
      <c r="J3" s="65">
        <v>2028</v>
      </c>
      <c r="K3" s="65">
        <v>2029</v>
      </c>
      <c r="L3" s="65">
        <v>2030</v>
      </c>
      <c r="M3" s="65">
        <v>2031</v>
      </c>
      <c r="N3" s="65">
        <v>2032</v>
      </c>
      <c r="O3" s="65">
        <v>2033</v>
      </c>
      <c r="P3" s="65">
        <v>2034</v>
      </c>
      <c r="Q3" s="65">
        <v>2035</v>
      </c>
      <c r="R3" s="65">
        <v>2036</v>
      </c>
      <c r="S3" s="65">
        <v>2037</v>
      </c>
      <c r="T3" s="65">
        <v>2038</v>
      </c>
      <c r="U3" s="65">
        <v>2039</v>
      </c>
      <c r="V3" s="65">
        <v>2040</v>
      </c>
    </row>
    <row r="4" spans="1:22" ht="15">
      <c r="A4" s="66">
        <v>1</v>
      </c>
      <c r="B4" s="66" t="s">
        <v>88</v>
      </c>
      <c r="C4" s="67" t="e">
        <f>营业收入估算表!D4</f>
        <v>#REF!</v>
      </c>
      <c r="D4" s="67" t="e">
        <f>营业收入估算表!E4</f>
        <v>#REF!</v>
      </c>
      <c r="E4" s="67" t="e">
        <f>营业收入估算表!F4</f>
        <v>#REF!</v>
      </c>
      <c r="F4" s="67" t="e">
        <f>营业收入估算表!G4</f>
        <v>#REF!</v>
      </c>
      <c r="G4" s="67" t="e">
        <f>营业收入估算表!H4</f>
        <v>#REF!</v>
      </c>
      <c r="H4" s="67" t="e">
        <f>营业收入估算表!I4</f>
        <v>#REF!</v>
      </c>
      <c r="I4" s="67" t="e">
        <f>营业收入估算表!J4</f>
        <v>#REF!</v>
      </c>
      <c r="J4" s="67" t="e">
        <f>营业收入估算表!K4</f>
        <v>#REF!</v>
      </c>
      <c r="K4" s="67" t="e">
        <f>营业收入估算表!L4</f>
        <v>#REF!</v>
      </c>
      <c r="L4" s="67" t="e">
        <f>营业收入估算表!M4</f>
        <v>#REF!</v>
      </c>
      <c r="M4" s="67" t="e">
        <f>营业收入估算表!N4</f>
        <v>#REF!</v>
      </c>
      <c r="N4" s="67" t="e">
        <f>营业收入估算表!O4</f>
        <v>#REF!</v>
      </c>
      <c r="O4" s="67" t="e">
        <f>营业收入估算表!P4</f>
        <v>#REF!</v>
      </c>
      <c r="P4" s="67" t="e">
        <f>营业收入估算表!Q4</f>
        <v>#REF!</v>
      </c>
      <c r="Q4" s="67" t="e">
        <f>营业收入估算表!R4</f>
        <v>#REF!</v>
      </c>
      <c r="R4" s="67" t="e">
        <f>营业收入估算表!S4</f>
        <v>#REF!</v>
      </c>
      <c r="S4" s="67" t="e">
        <f>营业收入估算表!T4</f>
        <v>#REF!</v>
      </c>
      <c r="T4" s="67" t="e">
        <f>营业收入估算表!U4</f>
        <v>#REF!</v>
      </c>
      <c r="U4" s="67" t="e">
        <f>营业收入估算表!V4</f>
        <v>#REF!</v>
      </c>
      <c r="V4" s="67" t="e">
        <f>营业收入估算表!W4</f>
        <v>#REF!</v>
      </c>
    </row>
    <row r="5" spans="1:22" ht="15">
      <c r="A5" s="66">
        <v>2</v>
      </c>
      <c r="B5" s="66" t="s">
        <v>74</v>
      </c>
      <c r="C5" s="67"/>
      <c r="D5" s="67"/>
      <c r="E5" s="67"/>
      <c r="F5" s="67"/>
      <c r="G5" s="67"/>
      <c r="H5" s="67"/>
      <c r="I5" s="67"/>
      <c r="J5" s="67"/>
      <c r="K5" s="67"/>
      <c r="L5" s="67"/>
      <c r="M5" s="67"/>
      <c r="N5" s="67"/>
      <c r="O5" s="67"/>
      <c r="P5" s="67"/>
      <c r="Q5" s="67"/>
      <c r="R5" s="67"/>
      <c r="S5" s="67"/>
      <c r="T5" s="67"/>
      <c r="U5" s="67"/>
      <c r="V5" s="67"/>
    </row>
    <row r="6" spans="1:22" ht="15">
      <c r="A6" s="66">
        <v>3</v>
      </c>
      <c r="B6" s="66" t="s">
        <v>251</v>
      </c>
      <c r="C6" s="67" t="e">
        <f>总成本费用估算表!D5</f>
        <v>#REF!</v>
      </c>
      <c r="D6" s="67" t="e">
        <f>总成本费用估算表!E5</f>
        <v>#REF!</v>
      </c>
      <c r="E6" s="67" t="e">
        <f>总成本费用估算表!F5</f>
        <v>#REF!</v>
      </c>
      <c r="F6" s="67" t="e">
        <f>总成本费用估算表!G5</f>
        <v>#REF!</v>
      </c>
      <c r="G6" s="67" t="e">
        <f>总成本费用估算表!H5</f>
        <v>#REF!</v>
      </c>
      <c r="H6" s="67" t="e">
        <f>总成本费用估算表!I5</f>
        <v>#REF!</v>
      </c>
      <c r="I6" s="67" t="e">
        <f>总成本费用估算表!J5</f>
        <v>#REF!</v>
      </c>
      <c r="J6" s="67" t="e">
        <f>总成本费用估算表!K5</f>
        <v>#REF!</v>
      </c>
      <c r="K6" s="67" t="e">
        <f>总成本费用估算表!L5</f>
        <v>#REF!</v>
      </c>
      <c r="L6" s="67" t="e">
        <f>总成本费用估算表!M5</f>
        <v>#REF!</v>
      </c>
      <c r="M6" s="67" t="e">
        <f>总成本费用估算表!N5</f>
        <v>#REF!</v>
      </c>
      <c r="N6" s="67" t="e">
        <f>总成本费用估算表!O5</f>
        <v>#REF!</v>
      </c>
      <c r="O6" s="67" t="e">
        <f>总成本费用估算表!P5</f>
        <v>#REF!</v>
      </c>
      <c r="P6" s="67" t="e">
        <f>总成本费用估算表!Q5</f>
        <v>#REF!</v>
      </c>
      <c r="Q6" s="67" t="e">
        <f>总成本费用估算表!R5</f>
        <v>#REF!</v>
      </c>
      <c r="R6" s="67" t="e">
        <f>总成本费用估算表!S5</f>
        <v>#REF!</v>
      </c>
      <c r="S6" s="67" t="e">
        <f>总成本费用估算表!T5</f>
        <v>#REF!</v>
      </c>
      <c r="T6" s="67" t="e">
        <f>总成本费用估算表!U5</f>
        <v>#REF!</v>
      </c>
      <c r="U6" s="67" t="e">
        <f>总成本费用估算表!V5</f>
        <v>#REF!</v>
      </c>
      <c r="V6" s="67" t="e">
        <f>总成本费用估算表!W5</f>
        <v>#REF!</v>
      </c>
    </row>
    <row r="7" spans="1:22" ht="15">
      <c r="A7" s="66">
        <v>4</v>
      </c>
      <c r="B7" s="66" t="s">
        <v>7</v>
      </c>
      <c r="C7" s="67" t="e">
        <f>总成本费用估算表!D6</f>
        <v>#REF!</v>
      </c>
      <c r="D7" s="67" t="e">
        <f>总成本费用估算表!E6</f>
        <v>#REF!</v>
      </c>
      <c r="E7" s="67" t="e">
        <f>总成本费用估算表!F6</f>
        <v>#REF!</v>
      </c>
      <c r="F7" s="67" t="e">
        <f>总成本费用估算表!G6</f>
        <v>#REF!</v>
      </c>
      <c r="G7" s="67" t="e">
        <f>总成本费用估算表!H6</f>
        <v>#REF!</v>
      </c>
      <c r="H7" s="67" t="e">
        <f>总成本费用估算表!I6</f>
        <v>#REF!</v>
      </c>
      <c r="I7" s="67" t="e">
        <f>总成本费用估算表!J6</f>
        <v>#REF!</v>
      </c>
      <c r="J7" s="67" t="e">
        <f>总成本费用估算表!K6</f>
        <v>#REF!</v>
      </c>
      <c r="K7" s="67" t="e">
        <f>总成本费用估算表!L6</f>
        <v>#REF!</v>
      </c>
      <c r="L7" s="67" t="e">
        <f>总成本费用估算表!M6</f>
        <v>#REF!</v>
      </c>
      <c r="M7" s="67" t="e">
        <f>总成本费用估算表!N6</f>
        <v>#REF!</v>
      </c>
      <c r="N7" s="67" t="e">
        <f>总成本费用估算表!O6</f>
        <v>#REF!</v>
      </c>
      <c r="O7" s="67" t="e">
        <f>总成本费用估算表!P6</f>
        <v>#REF!</v>
      </c>
      <c r="P7" s="67" t="e">
        <f>总成本费用估算表!Q6</f>
        <v>#REF!</v>
      </c>
      <c r="Q7" s="67" t="e">
        <f>总成本费用估算表!R6</f>
        <v>#REF!</v>
      </c>
      <c r="R7" s="67" t="e">
        <f>总成本费用估算表!S6</f>
        <v>#REF!</v>
      </c>
      <c r="S7" s="67" t="e">
        <f>总成本费用估算表!T6</f>
        <v>#REF!</v>
      </c>
      <c r="T7" s="67" t="e">
        <f>总成本费用估算表!U6</f>
        <v>#REF!</v>
      </c>
      <c r="U7" s="67" t="e">
        <f>总成本费用估算表!V6</f>
        <v>#REF!</v>
      </c>
      <c r="V7" s="67" t="e">
        <f>总成本费用估算表!W6</f>
        <v>#REF!</v>
      </c>
    </row>
    <row r="8" spans="1:22" ht="15">
      <c r="A8" s="66">
        <v>6</v>
      </c>
      <c r="B8" s="66" t="s">
        <v>60</v>
      </c>
      <c r="C8" s="68" t="e">
        <f>C4-C6-C7</f>
        <v>#REF!</v>
      </c>
      <c r="D8" s="68" t="e">
        <f>D4-D6-D7</f>
        <v>#REF!</v>
      </c>
      <c r="E8" s="68" t="e">
        <f t="shared" ref="E8:V8" si="0">E4-E6-E7</f>
        <v>#REF!</v>
      </c>
      <c r="F8" s="68" t="e">
        <f t="shared" si="0"/>
        <v>#REF!</v>
      </c>
      <c r="G8" s="68" t="e">
        <f t="shared" si="0"/>
        <v>#REF!</v>
      </c>
      <c r="H8" s="68" t="e">
        <f t="shared" si="0"/>
        <v>#REF!</v>
      </c>
      <c r="I8" s="68" t="e">
        <f t="shared" si="0"/>
        <v>#REF!</v>
      </c>
      <c r="J8" s="68" t="e">
        <f t="shared" si="0"/>
        <v>#REF!</v>
      </c>
      <c r="K8" s="68" t="e">
        <f t="shared" si="0"/>
        <v>#REF!</v>
      </c>
      <c r="L8" s="68" t="e">
        <f t="shared" si="0"/>
        <v>#REF!</v>
      </c>
      <c r="M8" s="68" t="e">
        <f t="shared" si="0"/>
        <v>#REF!</v>
      </c>
      <c r="N8" s="68" t="e">
        <f t="shared" si="0"/>
        <v>#REF!</v>
      </c>
      <c r="O8" s="68" t="e">
        <f t="shared" si="0"/>
        <v>#REF!</v>
      </c>
      <c r="P8" s="68" t="e">
        <f t="shared" si="0"/>
        <v>#REF!</v>
      </c>
      <c r="Q8" s="68" t="e">
        <f t="shared" si="0"/>
        <v>#REF!</v>
      </c>
      <c r="R8" s="68" t="e">
        <f t="shared" si="0"/>
        <v>#REF!</v>
      </c>
      <c r="S8" s="68" t="e">
        <f t="shared" si="0"/>
        <v>#REF!</v>
      </c>
      <c r="T8" s="68" t="e">
        <f t="shared" si="0"/>
        <v>#REF!</v>
      </c>
      <c r="U8" s="68" t="e">
        <f t="shared" si="0"/>
        <v>#REF!</v>
      </c>
      <c r="V8" s="68" t="e">
        <f t="shared" si="0"/>
        <v>#REF!</v>
      </c>
    </row>
    <row r="9" spans="1:22" ht="15">
      <c r="A9" s="66">
        <v>7</v>
      </c>
      <c r="B9" s="66" t="s">
        <v>61</v>
      </c>
      <c r="C9" s="68" t="e">
        <f>C8</f>
        <v>#REF!</v>
      </c>
      <c r="D9" s="68" t="e">
        <f>D8</f>
        <v>#REF!</v>
      </c>
      <c r="E9" s="68" t="e">
        <f t="shared" ref="E9:V9" si="1">E8</f>
        <v>#REF!</v>
      </c>
      <c r="F9" s="68" t="e">
        <f t="shared" si="1"/>
        <v>#REF!</v>
      </c>
      <c r="G9" s="68" t="e">
        <f t="shared" si="1"/>
        <v>#REF!</v>
      </c>
      <c r="H9" s="68" t="e">
        <f t="shared" si="1"/>
        <v>#REF!</v>
      </c>
      <c r="I9" s="68" t="e">
        <f t="shared" si="1"/>
        <v>#REF!</v>
      </c>
      <c r="J9" s="68" t="e">
        <f t="shared" si="1"/>
        <v>#REF!</v>
      </c>
      <c r="K9" s="68" t="e">
        <f t="shared" si="1"/>
        <v>#REF!</v>
      </c>
      <c r="L9" s="68" t="e">
        <f t="shared" si="1"/>
        <v>#REF!</v>
      </c>
      <c r="M9" s="68" t="e">
        <f t="shared" si="1"/>
        <v>#REF!</v>
      </c>
      <c r="N9" s="68" t="e">
        <f t="shared" si="1"/>
        <v>#REF!</v>
      </c>
      <c r="O9" s="68" t="e">
        <f t="shared" si="1"/>
        <v>#REF!</v>
      </c>
      <c r="P9" s="68" t="e">
        <f t="shared" si="1"/>
        <v>#REF!</v>
      </c>
      <c r="Q9" s="68" t="e">
        <f t="shared" si="1"/>
        <v>#REF!</v>
      </c>
      <c r="R9" s="68" t="e">
        <f t="shared" si="1"/>
        <v>#REF!</v>
      </c>
      <c r="S9" s="68" t="e">
        <f t="shared" si="1"/>
        <v>#REF!</v>
      </c>
      <c r="T9" s="68" t="e">
        <f t="shared" si="1"/>
        <v>#REF!</v>
      </c>
      <c r="U9" s="68" t="e">
        <f t="shared" si="1"/>
        <v>#REF!</v>
      </c>
      <c r="V9" s="68" t="e">
        <f t="shared" si="1"/>
        <v>#REF!</v>
      </c>
    </row>
    <row r="10" spans="1:22" ht="15">
      <c r="A10" s="66">
        <v>8</v>
      </c>
      <c r="B10" s="66" t="s">
        <v>62</v>
      </c>
      <c r="C10" s="67" t="e">
        <f>C9*25%</f>
        <v>#REF!</v>
      </c>
      <c r="D10" s="67" t="e">
        <f>D9*25%</f>
        <v>#REF!</v>
      </c>
      <c r="E10" s="67" t="e">
        <f t="shared" ref="E10:V10" si="2">E9*25%</f>
        <v>#REF!</v>
      </c>
      <c r="F10" s="67" t="e">
        <f t="shared" si="2"/>
        <v>#REF!</v>
      </c>
      <c r="G10" s="67" t="e">
        <f t="shared" si="2"/>
        <v>#REF!</v>
      </c>
      <c r="H10" s="67" t="e">
        <f t="shared" si="2"/>
        <v>#REF!</v>
      </c>
      <c r="I10" s="67" t="e">
        <f t="shared" si="2"/>
        <v>#REF!</v>
      </c>
      <c r="J10" s="67" t="e">
        <f t="shared" si="2"/>
        <v>#REF!</v>
      </c>
      <c r="K10" s="67" t="e">
        <f t="shared" si="2"/>
        <v>#REF!</v>
      </c>
      <c r="L10" s="67" t="e">
        <f t="shared" si="2"/>
        <v>#REF!</v>
      </c>
      <c r="M10" s="67" t="e">
        <f t="shared" si="2"/>
        <v>#REF!</v>
      </c>
      <c r="N10" s="67" t="e">
        <f t="shared" si="2"/>
        <v>#REF!</v>
      </c>
      <c r="O10" s="67" t="e">
        <f t="shared" si="2"/>
        <v>#REF!</v>
      </c>
      <c r="P10" s="67" t="e">
        <f t="shared" si="2"/>
        <v>#REF!</v>
      </c>
      <c r="Q10" s="67" t="e">
        <f t="shared" si="2"/>
        <v>#REF!</v>
      </c>
      <c r="R10" s="67" t="e">
        <f t="shared" si="2"/>
        <v>#REF!</v>
      </c>
      <c r="S10" s="67" t="e">
        <f t="shared" si="2"/>
        <v>#REF!</v>
      </c>
      <c r="T10" s="67" t="e">
        <f t="shared" si="2"/>
        <v>#REF!</v>
      </c>
      <c r="U10" s="67" t="e">
        <f t="shared" si="2"/>
        <v>#REF!</v>
      </c>
      <c r="V10" s="67" t="e">
        <f t="shared" si="2"/>
        <v>#REF!</v>
      </c>
    </row>
    <row r="11" spans="1:22" ht="15">
      <c r="A11" s="66">
        <v>9</v>
      </c>
      <c r="B11" s="66" t="s">
        <v>63</v>
      </c>
      <c r="C11" s="68" t="e">
        <f>C8-C10</f>
        <v>#REF!</v>
      </c>
      <c r="D11" s="68" t="e">
        <f>D8-D10</f>
        <v>#REF!</v>
      </c>
      <c r="E11" s="68" t="e">
        <f t="shared" ref="E11:V11" si="3">E8-E10</f>
        <v>#REF!</v>
      </c>
      <c r="F11" s="68" t="e">
        <f t="shared" si="3"/>
        <v>#REF!</v>
      </c>
      <c r="G11" s="68" t="e">
        <f t="shared" si="3"/>
        <v>#REF!</v>
      </c>
      <c r="H11" s="68" t="e">
        <f t="shared" si="3"/>
        <v>#REF!</v>
      </c>
      <c r="I11" s="68" t="e">
        <f t="shared" si="3"/>
        <v>#REF!</v>
      </c>
      <c r="J11" s="68" t="e">
        <f t="shared" si="3"/>
        <v>#REF!</v>
      </c>
      <c r="K11" s="68" t="e">
        <f t="shared" si="3"/>
        <v>#REF!</v>
      </c>
      <c r="L11" s="68" t="e">
        <f t="shared" si="3"/>
        <v>#REF!</v>
      </c>
      <c r="M11" s="68" t="e">
        <f t="shared" si="3"/>
        <v>#REF!</v>
      </c>
      <c r="N11" s="68" t="e">
        <f t="shared" si="3"/>
        <v>#REF!</v>
      </c>
      <c r="O11" s="68" t="e">
        <f t="shared" si="3"/>
        <v>#REF!</v>
      </c>
      <c r="P11" s="68" t="e">
        <f t="shared" si="3"/>
        <v>#REF!</v>
      </c>
      <c r="Q11" s="68" t="e">
        <f t="shared" si="3"/>
        <v>#REF!</v>
      </c>
      <c r="R11" s="68" t="e">
        <f t="shared" si="3"/>
        <v>#REF!</v>
      </c>
      <c r="S11" s="68" t="e">
        <f t="shared" si="3"/>
        <v>#REF!</v>
      </c>
      <c r="T11" s="68" t="e">
        <f t="shared" si="3"/>
        <v>#REF!</v>
      </c>
      <c r="U11" s="68" t="e">
        <f t="shared" si="3"/>
        <v>#REF!</v>
      </c>
      <c r="V11" s="68" t="e">
        <f t="shared" si="3"/>
        <v>#REF!</v>
      </c>
    </row>
    <row r="12" spans="1:22" ht="15">
      <c r="A12" s="66">
        <v>10</v>
      </c>
      <c r="B12" s="66" t="s">
        <v>64</v>
      </c>
      <c r="C12" s="67" t="e">
        <f>C11*10%</f>
        <v>#REF!</v>
      </c>
      <c r="D12" s="67" t="e">
        <f>D11*10%</f>
        <v>#REF!</v>
      </c>
      <c r="E12" s="67" t="e">
        <f t="shared" ref="E12:U12" si="4">E11*10%</f>
        <v>#REF!</v>
      </c>
      <c r="F12" s="67" t="e">
        <f t="shared" si="4"/>
        <v>#REF!</v>
      </c>
      <c r="G12" s="67" t="e">
        <f t="shared" si="4"/>
        <v>#REF!</v>
      </c>
      <c r="H12" s="67" t="e">
        <f t="shared" si="4"/>
        <v>#REF!</v>
      </c>
      <c r="I12" s="67" t="e">
        <f t="shared" si="4"/>
        <v>#REF!</v>
      </c>
      <c r="J12" s="67" t="e">
        <f t="shared" si="4"/>
        <v>#REF!</v>
      </c>
      <c r="K12" s="67" t="e">
        <f t="shared" si="4"/>
        <v>#REF!</v>
      </c>
      <c r="L12" s="67" t="e">
        <f t="shared" si="4"/>
        <v>#REF!</v>
      </c>
      <c r="M12" s="67" t="e">
        <f t="shared" si="4"/>
        <v>#REF!</v>
      </c>
      <c r="N12" s="67" t="e">
        <f t="shared" si="4"/>
        <v>#REF!</v>
      </c>
      <c r="O12" s="67" t="e">
        <f t="shared" si="4"/>
        <v>#REF!</v>
      </c>
      <c r="P12" s="67" t="e">
        <f t="shared" si="4"/>
        <v>#REF!</v>
      </c>
      <c r="Q12" s="67" t="e">
        <f t="shared" si="4"/>
        <v>#REF!</v>
      </c>
      <c r="R12" s="67" t="e">
        <f t="shared" si="4"/>
        <v>#REF!</v>
      </c>
      <c r="S12" s="67" t="e">
        <f t="shared" si="4"/>
        <v>#REF!</v>
      </c>
      <c r="T12" s="67" t="e">
        <f t="shared" si="4"/>
        <v>#REF!</v>
      </c>
      <c r="U12" s="67" t="e">
        <f t="shared" si="4"/>
        <v>#REF!</v>
      </c>
      <c r="V12" s="67" t="e">
        <f>V11*10%</f>
        <v>#REF!</v>
      </c>
    </row>
    <row r="13" spans="1:22" ht="15">
      <c r="A13" s="66">
        <v>11</v>
      </c>
      <c r="B13" s="66" t="s">
        <v>65</v>
      </c>
      <c r="C13" s="68" t="e">
        <f>C11-C12</f>
        <v>#REF!</v>
      </c>
      <c r="D13" s="68" t="e">
        <f>D11-D12</f>
        <v>#REF!</v>
      </c>
      <c r="E13" s="68" t="e">
        <f t="shared" ref="E13:V13" si="5">E11-E12</f>
        <v>#REF!</v>
      </c>
      <c r="F13" s="68" t="e">
        <f t="shared" si="5"/>
        <v>#REF!</v>
      </c>
      <c r="G13" s="68" t="e">
        <f t="shared" si="5"/>
        <v>#REF!</v>
      </c>
      <c r="H13" s="68" t="e">
        <f t="shared" si="5"/>
        <v>#REF!</v>
      </c>
      <c r="I13" s="68" t="e">
        <f t="shared" si="5"/>
        <v>#REF!</v>
      </c>
      <c r="J13" s="68" t="e">
        <f t="shared" si="5"/>
        <v>#REF!</v>
      </c>
      <c r="K13" s="68" t="e">
        <f t="shared" si="5"/>
        <v>#REF!</v>
      </c>
      <c r="L13" s="68" t="e">
        <f t="shared" si="5"/>
        <v>#REF!</v>
      </c>
      <c r="M13" s="68" t="e">
        <f t="shared" si="5"/>
        <v>#REF!</v>
      </c>
      <c r="N13" s="68" t="e">
        <f t="shared" si="5"/>
        <v>#REF!</v>
      </c>
      <c r="O13" s="68" t="e">
        <f t="shared" si="5"/>
        <v>#REF!</v>
      </c>
      <c r="P13" s="68" t="e">
        <f t="shared" si="5"/>
        <v>#REF!</v>
      </c>
      <c r="Q13" s="68" t="e">
        <f t="shared" si="5"/>
        <v>#REF!</v>
      </c>
      <c r="R13" s="68" t="e">
        <f t="shared" si="5"/>
        <v>#REF!</v>
      </c>
      <c r="S13" s="68" t="e">
        <f t="shared" si="5"/>
        <v>#REF!</v>
      </c>
      <c r="T13" s="68" t="e">
        <f t="shared" si="5"/>
        <v>#REF!</v>
      </c>
      <c r="U13" s="68" t="e">
        <f t="shared" si="5"/>
        <v>#REF!</v>
      </c>
      <c r="V13" s="68" t="e">
        <f t="shared" si="5"/>
        <v>#REF!</v>
      </c>
    </row>
    <row r="14" spans="1:22" ht="15">
      <c r="A14" s="66">
        <v>12</v>
      </c>
      <c r="B14" s="66" t="s">
        <v>9</v>
      </c>
      <c r="C14" s="68" t="e">
        <f>C13</f>
        <v>#REF!</v>
      </c>
      <c r="D14" s="68" t="e">
        <f>C14+D13</f>
        <v>#REF!</v>
      </c>
      <c r="E14" s="68" t="e">
        <f t="shared" ref="E14:V14" si="6">D14+E13</f>
        <v>#REF!</v>
      </c>
      <c r="F14" s="68" t="e">
        <f t="shared" si="6"/>
        <v>#REF!</v>
      </c>
      <c r="G14" s="68" t="e">
        <f t="shared" si="6"/>
        <v>#REF!</v>
      </c>
      <c r="H14" s="68" t="e">
        <f t="shared" si="6"/>
        <v>#REF!</v>
      </c>
      <c r="I14" s="68" t="e">
        <f t="shared" si="6"/>
        <v>#REF!</v>
      </c>
      <c r="J14" s="68" t="e">
        <f t="shared" si="6"/>
        <v>#REF!</v>
      </c>
      <c r="K14" s="68" t="e">
        <f t="shared" si="6"/>
        <v>#REF!</v>
      </c>
      <c r="L14" s="68" t="e">
        <f t="shared" si="6"/>
        <v>#REF!</v>
      </c>
      <c r="M14" s="68" t="e">
        <f t="shared" si="6"/>
        <v>#REF!</v>
      </c>
      <c r="N14" s="68" t="e">
        <f t="shared" si="6"/>
        <v>#REF!</v>
      </c>
      <c r="O14" s="68" t="e">
        <f t="shared" si="6"/>
        <v>#REF!</v>
      </c>
      <c r="P14" s="68" t="e">
        <f t="shared" si="6"/>
        <v>#REF!</v>
      </c>
      <c r="Q14" s="68" t="e">
        <f t="shared" si="6"/>
        <v>#REF!</v>
      </c>
      <c r="R14" s="68" t="e">
        <f t="shared" si="6"/>
        <v>#REF!</v>
      </c>
      <c r="S14" s="68" t="e">
        <f t="shared" si="6"/>
        <v>#REF!</v>
      </c>
      <c r="T14" s="68" t="e">
        <f t="shared" si="6"/>
        <v>#REF!</v>
      </c>
      <c r="U14" s="68" t="e">
        <f t="shared" si="6"/>
        <v>#REF!</v>
      </c>
      <c r="V14" s="68" t="e">
        <f t="shared" si="6"/>
        <v>#REF!</v>
      </c>
    </row>
  </sheetData>
  <mergeCells count="5">
    <mergeCell ref="A1:V1"/>
    <mergeCell ref="A2:A3"/>
    <mergeCell ref="B2:B3"/>
    <mergeCell ref="C2:D2"/>
    <mergeCell ref="E2:V2"/>
  </mergeCells>
  <phoneticPr fontId="7" type="noConversion"/>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W33"/>
  <sheetViews>
    <sheetView zoomScale="80" zoomScaleNormal="80" workbookViewId="0">
      <selection activeCell="F18" sqref="F18"/>
    </sheetView>
  </sheetViews>
  <sheetFormatPr defaultRowHeight="12.5"/>
  <cols>
    <col min="1" max="1" width="5.81640625" bestFit="1" customWidth="1"/>
    <col min="2" max="2" width="33.1796875" bestFit="1" customWidth="1"/>
    <col min="3" max="3" width="13.1796875" customWidth="1"/>
    <col min="4" max="4" width="8.81640625" customWidth="1"/>
    <col min="5" max="5" width="13.1796875" customWidth="1"/>
    <col min="6" max="9" width="10" bestFit="1" customWidth="1"/>
    <col min="10" max="12" width="8.81640625" bestFit="1" customWidth="1"/>
    <col min="13" max="13" width="10" bestFit="1" customWidth="1"/>
    <col min="14" max="14" width="9" customWidth="1"/>
    <col min="15" max="23" width="8.81640625" bestFit="1" customWidth="1"/>
  </cols>
  <sheetData>
    <row r="1" spans="1:23" ht="21">
      <c r="A1" s="401" t="s">
        <v>247</v>
      </c>
      <c r="B1" s="402"/>
      <c r="C1" s="402"/>
      <c r="D1" s="402"/>
      <c r="E1" s="402"/>
      <c r="F1" s="402"/>
      <c r="G1" s="402"/>
      <c r="H1" s="402"/>
      <c r="I1" s="402"/>
      <c r="J1" s="402"/>
      <c r="K1" s="402"/>
      <c r="L1" s="402"/>
      <c r="M1" s="402"/>
      <c r="N1" s="402"/>
      <c r="O1" s="402"/>
      <c r="P1" s="402"/>
      <c r="Q1" s="402"/>
      <c r="R1" s="402"/>
      <c r="S1" s="402"/>
      <c r="T1" s="402"/>
      <c r="U1" s="402"/>
      <c r="V1" s="402"/>
      <c r="W1" s="403"/>
    </row>
    <row r="2" spans="1:23" s="11" customFormat="1" ht="15">
      <c r="A2" s="410" t="s">
        <v>91</v>
      </c>
      <c r="B2" s="412" t="s">
        <v>6</v>
      </c>
      <c r="C2" s="413" t="s">
        <v>76</v>
      </c>
      <c r="D2" s="415" t="s">
        <v>57</v>
      </c>
      <c r="E2" s="416"/>
      <c r="F2" s="416" t="s">
        <v>113</v>
      </c>
      <c r="G2" s="416"/>
      <c r="H2" s="416"/>
      <c r="I2" s="416"/>
      <c r="J2" s="416"/>
      <c r="K2" s="416"/>
      <c r="L2" s="416"/>
      <c r="M2" s="416"/>
      <c r="N2" s="416"/>
      <c r="O2" s="416"/>
      <c r="P2" s="416"/>
      <c r="Q2" s="416"/>
      <c r="R2" s="416"/>
      <c r="S2" s="416"/>
      <c r="T2" s="416"/>
      <c r="U2" s="416"/>
      <c r="V2" s="416"/>
      <c r="W2" s="417"/>
    </row>
    <row r="3" spans="1:23" s="11" customFormat="1" ht="15">
      <c r="A3" s="411"/>
      <c r="B3" s="412"/>
      <c r="C3" s="414"/>
      <c r="D3" s="81">
        <v>1</v>
      </c>
      <c r="E3" s="205">
        <v>2</v>
      </c>
      <c r="F3" s="205">
        <v>3</v>
      </c>
      <c r="G3" s="205">
        <v>4</v>
      </c>
      <c r="H3" s="205">
        <v>5</v>
      </c>
      <c r="I3" s="205">
        <v>6</v>
      </c>
      <c r="J3" s="205">
        <v>7</v>
      </c>
      <c r="K3" s="205">
        <v>8</v>
      </c>
      <c r="L3" s="205">
        <v>9</v>
      </c>
      <c r="M3" s="205">
        <v>10</v>
      </c>
      <c r="N3" s="205">
        <v>11</v>
      </c>
      <c r="O3" s="205">
        <v>12</v>
      </c>
      <c r="P3" s="205">
        <v>13</v>
      </c>
      <c r="Q3" s="205">
        <v>14</v>
      </c>
      <c r="R3" s="205">
        <v>15</v>
      </c>
      <c r="S3" s="205">
        <v>16</v>
      </c>
      <c r="T3" s="205">
        <v>17</v>
      </c>
      <c r="U3" s="205">
        <v>18</v>
      </c>
      <c r="V3" s="205">
        <v>19</v>
      </c>
      <c r="W3" s="205">
        <v>20</v>
      </c>
    </row>
    <row r="4" spans="1:23" ht="15.5">
      <c r="A4" s="97">
        <v>1</v>
      </c>
      <c r="B4" s="98" t="s">
        <v>10</v>
      </c>
      <c r="C4" s="98"/>
      <c r="D4" s="97"/>
      <c r="E4" s="97"/>
      <c r="F4" s="97"/>
      <c r="G4" s="97"/>
      <c r="H4" s="97"/>
      <c r="I4" s="97"/>
      <c r="J4" s="97"/>
      <c r="K4" s="97"/>
      <c r="L4" s="97"/>
      <c r="M4" s="97"/>
      <c r="N4" s="97"/>
      <c r="O4" s="99"/>
      <c r="P4" s="99"/>
      <c r="Q4" s="99"/>
      <c r="R4" s="99"/>
      <c r="S4" s="99"/>
      <c r="T4" s="99"/>
      <c r="U4" s="99"/>
      <c r="V4" s="99"/>
      <c r="W4" s="99"/>
    </row>
    <row r="5" spans="1:23" ht="15">
      <c r="A5" s="41">
        <v>1.1000000000000001</v>
      </c>
      <c r="B5" s="66" t="s">
        <v>88</v>
      </c>
      <c r="C5" s="74" t="e">
        <f>SUM(D5:W5)</f>
        <v>#REF!</v>
      </c>
      <c r="D5" s="75" t="e">
        <f>营业收入估算表!D4</f>
        <v>#REF!</v>
      </c>
      <c r="E5" s="43" t="e">
        <f>营业收入估算表!E4</f>
        <v>#REF!</v>
      </c>
      <c r="F5" s="43" t="e">
        <f>营业收入估算表!F4</f>
        <v>#REF!</v>
      </c>
      <c r="G5" s="43" t="e">
        <f>营业收入估算表!G4</f>
        <v>#REF!</v>
      </c>
      <c r="H5" s="43" t="e">
        <f>营业收入估算表!H4</f>
        <v>#REF!</v>
      </c>
      <c r="I5" s="43" t="e">
        <f>营业收入估算表!I4</f>
        <v>#REF!</v>
      </c>
      <c r="J5" s="43" t="e">
        <f>营业收入估算表!J4</f>
        <v>#REF!</v>
      </c>
      <c r="K5" s="43" t="e">
        <f>营业收入估算表!K4</f>
        <v>#REF!</v>
      </c>
      <c r="L5" s="43" t="e">
        <f>营业收入估算表!L4</f>
        <v>#REF!</v>
      </c>
      <c r="M5" s="43" t="e">
        <f>营业收入估算表!M4</f>
        <v>#REF!</v>
      </c>
      <c r="N5" s="43" t="e">
        <f>营业收入估算表!N4</f>
        <v>#REF!</v>
      </c>
      <c r="O5" s="43" t="e">
        <f>营业收入估算表!O4</f>
        <v>#REF!</v>
      </c>
      <c r="P5" s="43" t="e">
        <f>营业收入估算表!P4</f>
        <v>#REF!</v>
      </c>
      <c r="Q5" s="43" t="e">
        <f>营业收入估算表!Q4</f>
        <v>#REF!</v>
      </c>
      <c r="R5" s="43" t="e">
        <f>营业收入估算表!R4</f>
        <v>#REF!</v>
      </c>
      <c r="S5" s="43" t="e">
        <f>营业收入估算表!S4</f>
        <v>#REF!</v>
      </c>
      <c r="T5" s="43" t="e">
        <f>营业收入估算表!T4</f>
        <v>#REF!</v>
      </c>
      <c r="U5" s="43" t="e">
        <f>营业收入估算表!U4</f>
        <v>#REF!</v>
      </c>
      <c r="V5" s="43" t="e">
        <f>营业收入估算表!V4</f>
        <v>#REF!</v>
      </c>
      <c r="W5" s="43" t="e">
        <f>营业收入估算表!W4</f>
        <v>#REF!</v>
      </c>
    </row>
    <row r="6" spans="1:23" ht="15">
      <c r="A6" s="41">
        <v>1.2</v>
      </c>
      <c r="B6" s="66" t="s">
        <v>89</v>
      </c>
      <c r="C6" s="74"/>
      <c r="D6" s="75"/>
      <c r="E6" s="43"/>
      <c r="F6" s="43"/>
      <c r="G6" s="43"/>
      <c r="H6" s="43"/>
      <c r="I6" s="43"/>
      <c r="J6" s="43"/>
      <c r="K6" s="43"/>
      <c r="L6" s="43"/>
      <c r="M6" s="43"/>
      <c r="N6" s="43"/>
      <c r="O6" s="43"/>
      <c r="P6" s="43"/>
      <c r="Q6" s="43"/>
      <c r="R6" s="43"/>
      <c r="S6" s="43"/>
      <c r="T6" s="43"/>
      <c r="U6" s="43"/>
      <c r="V6" s="43"/>
      <c r="W6" s="43"/>
    </row>
    <row r="7" spans="1:23" ht="15.5">
      <c r="A7" s="41">
        <v>1.3</v>
      </c>
      <c r="B7" s="66" t="s">
        <v>112</v>
      </c>
      <c r="C7" s="74" t="e">
        <f t="shared" ref="C7:C26" si="0">SUM(D7:W7)</f>
        <v>#REF!</v>
      </c>
      <c r="D7" s="75"/>
      <c r="E7" s="43"/>
      <c r="F7" s="43"/>
      <c r="G7" s="43"/>
      <c r="H7" s="43"/>
      <c r="I7" s="43"/>
      <c r="J7" s="43"/>
      <c r="K7" s="43"/>
      <c r="L7" s="43"/>
      <c r="M7" s="43"/>
      <c r="N7" s="43"/>
      <c r="O7" s="165"/>
      <c r="P7" s="165"/>
      <c r="Q7" s="165"/>
      <c r="R7" s="165"/>
      <c r="S7" s="165"/>
      <c r="T7" s="165"/>
      <c r="U7" s="165"/>
      <c r="V7" s="165"/>
      <c r="W7" s="43" t="e">
        <f>折旧费用估算表!W28/10000</f>
        <v>#REF!</v>
      </c>
    </row>
    <row r="8" spans="1:23" ht="15">
      <c r="A8" s="41">
        <v>1.4</v>
      </c>
      <c r="B8" s="66" t="s">
        <v>252</v>
      </c>
      <c r="C8" s="74" t="e">
        <f t="shared" si="0"/>
        <v>#REF!</v>
      </c>
      <c r="D8" s="75"/>
      <c r="E8" s="43"/>
      <c r="F8" s="43"/>
      <c r="G8" s="43"/>
      <c r="H8" s="43"/>
      <c r="I8" s="43"/>
      <c r="J8" s="43"/>
      <c r="K8" s="43"/>
      <c r="L8" s="43"/>
      <c r="M8" s="43"/>
      <c r="N8" s="43"/>
      <c r="O8" s="43"/>
      <c r="P8" s="43"/>
      <c r="Q8" s="43"/>
      <c r="R8" s="43"/>
      <c r="S8" s="43"/>
      <c r="T8" s="43"/>
      <c r="U8" s="43"/>
      <c r="V8" s="43"/>
      <c r="W8" s="43" t="e">
        <f>E13</f>
        <v>#REF!</v>
      </c>
    </row>
    <row r="9" spans="1:23" ht="15">
      <c r="A9" s="41">
        <v>1.5</v>
      </c>
      <c r="B9" s="66" t="s">
        <v>253</v>
      </c>
      <c r="C9" s="74"/>
      <c r="D9" s="75"/>
      <c r="E9" s="43"/>
      <c r="F9" s="43"/>
      <c r="G9" s="43"/>
      <c r="H9" s="43"/>
      <c r="I9" s="43"/>
      <c r="J9" s="43"/>
      <c r="K9" s="43"/>
      <c r="L9" s="43"/>
      <c r="M9" s="43"/>
      <c r="N9" s="43"/>
      <c r="O9" s="43"/>
      <c r="P9" s="43"/>
      <c r="Q9" s="43"/>
      <c r="R9" s="43"/>
      <c r="S9" s="43"/>
      <c r="T9" s="43"/>
      <c r="U9" s="43"/>
      <c r="V9" s="43"/>
      <c r="W9" s="43"/>
    </row>
    <row r="10" spans="1:23" ht="15">
      <c r="A10" s="41">
        <v>1.6</v>
      </c>
      <c r="B10" s="66" t="s">
        <v>66</v>
      </c>
      <c r="C10" s="74" t="e">
        <f t="shared" si="0"/>
        <v>#REF!</v>
      </c>
      <c r="D10" s="75" t="e">
        <f>SUM(D5:D8)</f>
        <v>#REF!</v>
      </c>
      <c r="E10" s="43" t="e">
        <f t="shared" ref="E10:W10" si="1">SUM(E5:E8)</f>
        <v>#REF!</v>
      </c>
      <c r="F10" s="43" t="e">
        <f t="shared" si="1"/>
        <v>#REF!</v>
      </c>
      <c r="G10" s="43" t="e">
        <f t="shared" si="1"/>
        <v>#REF!</v>
      </c>
      <c r="H10" s="43" t="e">
        <f t="shared" si="1"/>
        <v>#REF!</v>
      </c>
      <c r="I10" s="43" t="e">
        <f t="shared" si="1"/>
        <v>#REF!</v>
      </c>
      <c r="J10" s="43" t="e">
        <f t="shared" si="1"/>
        <v>#REF!</v>
      </c>
      <c r="K10" s="43" t="e">
        <f t="shared" si="1"/>
        <v>#REF!</v>
      </c>
      <c r="L10" s="43" t="e">
        <f t="shared" si="1"/>
        <v>#REF!</v>
      </c>
      <c r="M10" s="43" t="e">
        <f t="shared" si="1"/>
        <v>#REF!</v>
      </c>
      <c r="N10" s="43" t="e">
        <f t="shared" si="1"/>
        <v>#REF!</v>
      </c>
      <c r="O10" s="43" t="e">
        <f t="shared" si="1"/>
        <v>#REF!</v>
      </c>
      <c r="P10" s="43" t="e">
        <f t="shared" si="1"/>
        <v>#REF!</v>
      </c>
      <c r="Q10" s="43" t="e">
        <f t="shared" si="1"/>
        <v>#REF!</v>
      </c>
      <c r="R10" s="43" t="e">
        <f t="shared" si="1"/>
        <v>#REF!</v>
      </c>
      <c r="S10" s="43" t="e">
        <f t="shared" si="1"/>
        <v>#REF!</v>
      </c>
      <c r="T10" s="43" t="e">
        <f t="shared" si="1"/>
        <v>#REF!</v>
      </c>
      <c r="U10" s="43" t="e">
        <f t="shared" si="1"/>
        <v>#REF!</v>
      </c>
      <c r="V10" s="43" t="e">
        <f t="shared" si="1"/>
        <v>#REF!</v>
      </c>
      <c r="W10" s="43" t="e">
        <f t="shared" si="1"/>
        <v>#REF!</v>
      </c>
    </row>
    <row r="11" spans="1:23" ht="15.5">
      <c r="A11" s="97">
        <v>2</v>
      </c>
      <c r="B11" s="98" t="s">
        <v>11</v>
      </c>
      <c r="C11" s="98"/>
      <c r="D11" s="166"/>
      <c r="E11" s="166"/>
      <c r="F11" s="166"/>
      <c r="G11" s="166"/>
      <c r="H11" s="166"/>
      <c r="I11" s="166"/>
      <c r="J11" s="166"/>
      <c r="K11" s="166"/>
      <c r="L11" s="166"/>
      <c r="M11" s="166"/>
      <c r="N11" s="166"/>
      <c r="O11" s="167"/>
      <c r="P11" s="167"/>
      <c r="Q11" s="167"/>
      <c r="R11" s="167"/>
      <c r="S11" s="167"/>
      <c r="T11" s="167"/>
      <c r="U11" s="167"/>
      <c r="V11" s="167"/>
      <c r="W11" s="167"/>
    </row>
    <row r="12" spans="1:23" ht="15.5">
      <c r="A12" s="41">
        <v>2.1</v>
      </c>
      <c r="B12" s="66" t="s">
        <v>249</v>
      </c>
      <c r="C12" s="74" t="e">
        <f>SUM(D12:W12)</f>
        <v>#REF!</v>
      </c>
      <c r="D12" s="75" t="e">
        <f>总投资估算表!F3*50%/10000</f>
        <v>#REF!</v>
      </c>
      <c r="E12" s="43" t="e">
        <f>(总投资估算表!F40-总投资估算表!F38-项目全投资现金流量表!D12)/10000</f>
        <v>#REF!</v>
      </c>
      <c r="F12" s="43"/>
      <c r="G12" s="43"/>
      <c r="H12" s="43"/>
      <c r="I12" s="43"/>
      <c r="J12" s="43"/>
      <c r="K12" s="43"/>
      <c r="L12" s="43"/>
      <c r="M12" s="43"/>
      <c r="N12" s="43"/>
      <c r="O12" s="165"/>
      <c r="P12" s="165"/>
      <c r="Q12" s="165"/>
      <c r="R12" s="165"/>
      <c r="S12" s="165"/>
      <c r="T12" s="165"/>
      <c r="U12" s="165"/>
      <c r="V12" s="165"/>
      <c r="W12" s="165"/>
    </row>
    <row r="13" spans="1:23" ht="15.5">
      <c r="A13" s="41">
        <v>2.2000000000000002</v>
      </c>
      <c r="B13" s="66" t="s">
        <v>250</v>
      </c>
      <c r="C13" s="74"/>
      <c r="D13" s="75"/>
      <c r="E13" s="43" t="e">
        <f>总投资估算表!F38/10000</f>
        <v>#REF!</v>
      </c>
      <c r="F13" s="43"/>
      <c r="G13" s="43"/>
      <c r="H13" s="43"/>
      <c r="I13" s="43"/>
      <c r="J13" s="43"/>
      <c r="K13" s="43"/>
      <c r="L13" s="43"/>
      <c r="M13" s="43"/>
      <c r="N13" s="43"/>
      <c r="O13" s="165"/>
      <c r="P13" s="165"/>
      <c r="Q13" s="165"/>
      <c r="R13" s="165"/>
      <c r="S13" s="165"/>
      <c r="T13" s="165"/>
      <c r="U13" s="165"/>
      <c r="V13" s="165"/>
      <c r="W13" s="165"/>
    </row>
    <row r="14" spans="1:23" ht="15">
      <c r="A14" s="41">
        <v>2.2999999999999998</v>
      </c>
      <c r="B14" s="66" t="s">
        <v>248</v>
      </c>
      <c r="C14" s="74" t="e">
        <f t="shared" si="0"/>
        <v>#REF!</v>
      </c>
      <c r="D14" s="75" t="e">
        <f>总成本费用估算表!D6</f>
        <v>#REF!</v>
      </c>
      <c r="E14" s="75" t="e">
        <f>总成本费用估算表!E6</f>
        <v>#REF!</v>
      </c>
      <c r="F14" s="75" t="e">
        <f>总成本费用估算表!F6</f>
        <v>#REF!</v>
      </c>
      <c r="G14" s="75" t="e">
        <f>总成本费用估算表!G6</f>
        <v>#REF!</v>
      </c>
      <c r="H14" s="75" t="e">
        <f>总成本费用估算表!H6</f>
        <v>#REF!</v>
      </c>
      <c r="I14" s="75" t="e">
        <f>总成本费用估算表!I6</f>
        <v>#REF!</v>
      </c>
      <c r="J14" s="75" t="e">
        <f>总成本费用估算表!J6</f>
        <v>#REF!</v>
      </c>
      <c r="K14" s="75" t="e">
        <f>总成本费用估算表!K6</f>
        <v>#REF!</v>
      </c>
      <c r="L14" s="75" t="e">
        <f>总成本费用估算表!L6</f>
        <v>#REF!</v>
      </c>
      <c r="M14" s="75" t="e">
        <f>总成本费用估算表!M6</f>
        <v>#REF!</v>
      </c>
      <c r="N14" s="75" t="e">
        <f>总成本费用估算表!N6</f>
        <v>#REF!</v>
      </c>
      <c r="O14" s="75" t="e">
        <f>总成本费用估算表!O6</f>
        <v>#REF!</v>
      </c>
      <c r="P14" s="75" t="e">
        <f>总成本费用估算表!P6</f>
        <v>#REF!</v>
      </c>
      <c r="Q14" s="75" t="e">
        <f>总成本费用估算表!Q6</f>
        <v>#REF!</v>
      </c>
      <c r="R14" s="75" t="e">
        <f>总成本费用估算表!R6</f>
        <v>#REF!</v>
      </c>
      <c r="S14" s="75" t="e">
        <f>总成本费用估算表!S6</f>
        <v>#REF!</v>
      </c>
      <c r="T14" s="75" t="e">
        <f>总成本费用估算表!T6</f>
        <v>#REF!</v>
      </c>
      <c r="U14" s="75" t="e">
        <f>总成本费用估算表!U6</f>
        <v>#REF!</v>
      </c>
      <c r="V14" s="75" t="e">
        <f>总成本费用估算表!V6</f>
        <v>#REF!</v>
      </c>
      <c r="W14" s="75" t="e">
        <f>总成本费用估算表!W6</f>
        <v>#REF!</v>
      </c>
    </row>
    <row r="15" spans="1:23" ht="15">
      <c r="A15" s="41">
        <v>2.4</v>
      </c>
      <c r="B15" s="66" t="s">
        <v>251</v>
      </c>
      <c r="C15" s="74" t="e">
        <f t="shared" si="0"/>
        <v>#REF!</v>
      </c>
      <c r="D15" s="75" t="e">
        <f>利润表!C6</f>
        <v>#REF!</v>
      </c>
      <c r="E15" s="75" t="e">
        <f>利润表!D6</f>
        <v>#REF!</v>
      </c>
      <c r="F15" s="75" t="e">
        <f>利润表!E6</f>
        <v>#REF!</v>
      </c>
      <c r="G15" s="75" t="e">
        <f>利润表!F6</f>
        <v>#REF!</v>
      </c>
      <c r="H15" s="75" t="e">
        <f>利润表!G6</f>
        <v>#REF!</v>
      </c>
      <c r="I15" s="75" t="e">
        <f>利润表!H6</f>
        <v>#REF!</v>
      </c>
      <c r="J15" s="75" t="e">
        <f>利润表!I6</f>
        <v>#REF!</v>
      </c>
      <c r="K15" s="75" t="e">
        <f>利润表!J6</f>
        <v>#REF!</v>
      </c>
      <c r="L15" s="75" t="e">
        <f>利润表!K6</f>
        <v>#REF!</v>
      </c>
      <c r="M15" s="75" t="e">
        <f>利润表!L6</f>
        <v>#REF!</v>
      </c>
      <c r="N15" s="75" t="e">
        <f>利润表!M6</f>
        <v>#REF!</v>
      </c>
      <c r="O15" s="75" t="e">
        <f>利润表!N6</f>
        <v>#REF!</v>
      </c>
      <c r="P15" s="75" t="e">
        <f>利润表!O6</f>
        <v>#REF!</v>
      </c>
      <c r="Q15" s="75" t="e">
        <f>利润表!P6</f>
        <v>#REF!</v>
      </c>
      <c r="R15" s="75" t="e">
        <f>利润表!Q6</f>
        <v>#REF!</v>
      </c>
      <c r="S15" s="75" t="e">
        <f>利润表!R6</f>
        <v>#REF!</v>
      </c>
      <c r="T15" s="75" t="e">
        <f>利润表!S6</f>
        <v>#REF!</v>
      </c>
      <c r="U15" s="75" t="e">
        <f>利润表!T6</f>
        <v>#REF!</v>
      </c>
      <c r="V15" s="75" t="e">
        <f>利润表!U6</f>
        <v>#REF!</v>
      </c>
      <c r="W15" s="75" t="e">
        <f>利润表!V6</f>
        <v>#REF!</v>
      </c>
    </row>
    <row r="16" spans="1:23" ht="15">
      <c r="A16" s="41">
        <v>2.5</v>
      </c>
      <c r="B16" s="66" t="s">
        <v>261</v>
      </c>
      <c r="C16" s="74"/>
      <c r="D16" s="75"/>
      <c r="E16" s="43"/>
      <c r="F16" s="43"/>
      <c r="G16" s="43"/>
      <c r="H16" s="43"/>
      <c r="I16" s="43"/>
      <c r="J16" s="43"/>
      <c r="K16" s="43"/>
      <c r="L16" s="43"/>
      <c r="M16" s="43"/>
      <c r="N16" s="43"/>
      <c r="O16" s="43"/>
      <c r="P16" s="43"/>
      <c r="Q16" s="43"/>
      <c r="R16" s="43"/>
      <c r="S16" s="43"/>
      <c r="T16" s="43"/>
      <c r="U16" s="43"/>
      <c r="V16" s="43"/>
      <c r="W16" s="43"/>
    </row>
    <row r="17" spans="1:23" ht="15">
      <c r="A17" s="41">
        <v>2.6</v>
      </c>
      <c r="B17" s="66" t="s">
        <v>260</v>
      </c>
      <c r="C17" s="74" t="e">
        <f t="shared" si="0"/>
        <v>#REF!</v>
      </c>
      <c r="D17" s="75" t="e">
        <f>利润表!C10</f>
        <v>#REF!</v>
      </c>
      <c r="E17" s="43" t="e">
        <f>利润表!D10</f>
        <v>#REF!</v>
      </c>
      <c r="F17" s="43" t="e">
        <f>利润表!E10</f>
        <v>#REF!</v>
      </c>
      <c r="G17" s="43" t="e">
        <f>利润表!F10</f>
        <v>#REF!</v>
      </c>
      <c r="H17" s="43" t="e">
        <f>利润表!G10</f>
        <v>#REF!</v>
      </c>
      <c r="I17" s="43" t="e">
        <f>利润表!H10</f>
        <v>#REF!</v>
      </c>
      <c r="J17" s="43" t="e">
        <f>利润表!I10</f>
        <v>#REF!</v>
      </c>
      <c r="K17" s="43" t="e">
        <f>利润表!J10</f>
        <v>#REF!</v>
      </c>
      <c r="L17" s="43" t="e">
        <f>利润表!K10</f>
        <v>#REF!</v>
      </c>
      <c r="M17" s="43" t="e">
        <f>利润表!L10</f>
        <v>#REF!</v>
      </c>
      <c r="N17" s="43" t="e">
        <f>利润表!M10</f>
        <v>#REF!</v>
      </c>
      <c r="O17" s="43" t="e">
        <f>利润表!N10</f>
        <v>#REF!</v>
      </c>
      <c r="P17" s="43" t="e">
        <f>利润表!O10</f>
        <v>#REF!</v>
      </c>
      <c r="Q17" s="43" t="e">
        <f>利润表!P10</f>
        <v>#REF!</v>
      </c>
      <c r="R17" s="43" t="e">
        <f>利润表!Q10</f>
        <v>#REF!</v>
      </c>
      <c r="S17" s="43" t="e">
        <f>利润表!R10</f>
        <v>#REF!</v>
      </c>
      <c r="T17" s="43" t="e">
        <f>利润表!S10</f>
        <v>#REF!</v>
      </c>
      <c r="U17" s="43" t="e">
        <f>利润表!T10</f>
        <v>#REF!</v>
      </c>
      <c r="V17" s="43" t="e">
        <f>利润表!U10</f>
        <v>#REF!</v>
      </c>
      <c r="W17" s="43" t="e">
        <f>利润表!V10</f>
        <v>#REF!</v>
      </c>
    </row>
    <row r="18" spans="1:23" ht="15">
      <c r="A18" s="41">
        <v>2.7</v>
      </c>
      <c r="B18" s="66" t="s">
        <v>254</v>
      </c>
      <c r="C18" s="74"/>
      <c r="D18" s="75"/>
      <c r="E18" s="43"/>
      <c r="F18" s="43"/>
      <c r="G18" s="43"/>
      <c r="H18" s="43"/>
      <c r="I18" s="43"/>
      <c r="J18" s="43"/>
      <c r="K18" s="43"/>
      <c r="L18" s="43"/>
      <c r="M18" s="43"/>
      <c r="N18" s="43"/>
      <c r="O18" s="43"/>
      <c r="P18" s="43"/>
      <c r="Q18" s="43"/>
      <c r="R18" s="43"/>
      <c r="S18" s="43"/>
      <c r="T18" s="43"/>
      <c r="U18" s="43"/>
      <c r="V18" s="43"/>
      <c r="W18" s="43"/>
    </row>
    <row r="19" spans="1:23" ht="15">
      <c r="A19" s="41">
        <v>2.8</v>
      </c>
      <c r="B19" s="66" t="s">
        <v>67</v>
      </c>
      <c r="C19" s="74" t="e">
        <f t="shared" si="0"/>
        <v>#REF!</v>
      </c>
      <c r="D19" s="75" t="e">
        <f>SUM(D12:D17)</f>
        <v>#REF!</v>
      </c>
      <c r="E19" s="43" t="e">
        <f t="shared" ref="E19:W19" si="2">SUM(E12:E17)</f>
        <v>#REF!</v>
      </c>
      <c r="F19" s="43" t="e">
        <f t="shared" si="2"/>
        <v>#REF!</v>
      </c>
      <c r="G19" s="43" t="e">
        <f t="shared" si="2"/>
        <v>#REF!</v>
      </c>
      <c r="H19" s="43" t="e">
        <f t="shared" si="2"/>
        <v>#REF!</v>
      </c>
      <c r="I19" s="43" t="e">
        <f t="shared" si="2"/>
        <v>#REF!</v>
      </c>
      <c r="J19" s="43" t="e">
        <f t="shared" si="2"/>
        <v>#REF!</v>
      </c>
      <c r="K19" s="43" t="e">
        <f t="shared" si="2"/>
        <v>#REF!</v>
      </c>
      <c r="L19" s="43" t="e">
        <f t="shared" si="2"/>
        <v>#REF!</v>
      </c>
      <c r="M19" s="43" t="e">
        <f t="shared" si="2"/>
        <v>#REF!</v>
      </c>
      <c r="N19" s="43" t="e">
        <f t="shared" si="2"/>
        <v>#REF!</v>
      </c>
      <c r="O19" s="43" t="e">
        <f t="shared" si="2"/>
        <v>#REF!</v>
      </c>
      <c r="P19" s="43" t="e">
        <f t="shared" si="2"/>
        <v>#REF!</v>
      </c>
      <c r="Q19" s="43" t="e">
        <f t="shared" si="2"/>
        <v>#REF!</v>
      </c>
      <c r="R19" s="43" t="e">
        <f t="shared" si="2"/>
        <v>#REF!</v>
      </c>
      <c r="S19" s="43" t="e">
        <f t="shared" si="2"/>
        <v>#REF!</v>
      </c>
      <c r="T19" s="43" t="e">
        <f t="shared" si="2"/>
        <v>#REF!</v>
      </c>
      <c r="U19" s="43" t="e">
        <f t="shared" si="2"/>
        <v>#REF!</v>
      </c>
      <c r="V19" s="43" t="e">
        <f t="shared" si="2"/>
        <v>#REF!</v>
      </c>
      <c r="W19" s="43" t="e">
        <f t="shared" si="2"/>
        <v>#REF!</v>
      </c>
    </row>
    <row r="20" spans="1:23" ht="15">
      <c r="A20" s="41">
        <v>3</v>
      </c>
      <c r="B20" s="66" t="s">
        <v>68</v>
      </c>
      <c r="C20" s="74" t="e">
        <f t="shared" si="0"/>
        <v>#REF!</v>
      </c>
      <c r="D20" s="75" t="e">
        <f>D10-D19</f>
        <v>#REF!</v>
      </c>
      <c r="E20" s="43" t="e">
        <f t="shared" ref="E20:W20" si="3">E10-E19</f>
        <v>#REF!</v>
      </c>
      <c r="F20" s="43" t="e">
        <f t="shared" si="3"/>
        <v>#REF!</v>
      </c>
      <c r="G20" s="43" t="e">
        <f t="shared" si="3"/>
        <v>#REF!</v>
      </c>
      <c r="H20" s="43" t="e">
        <f t="shared" si="3"/>
        <v>#REF!</v>
      </c>
      <c r="I20" s="43" t="e">
        <f t="shared" si="3"/>
        <v>#REF!</v>
      </c>
      <c r="J20" s="43" t="e">
        <f t="shared" si="3"/>
        <v>#REF!</v>
      </c>
      <c r="K20" s="43" t="e">
        <f t="shared" si="3"/>
        <v>#REF!</v>
      </c>
      <c r="L20" s="43" t="e">
        <f t="shared" si="3"/>
        <v>#REF!</v>
      </c>
      <c r="M20" s="43" t="e">
        <f t="shared" si="3"/>
        <v>#REF!</v>
      </c>
      <c r="N20" s="43" t="e">
        <f t="shared" si="3"/>
        <v>#REF!</v>
      </c>
      <c r="O20" s="43" t="e">
        <f t="shared" si="3"/>
        <v>#REF!</v>
      </c>
      <c r="P20" s="43" t="e">
        <f t="shared" si="3"/>
        <v>#REF!</v>
      </c>
      <c r="Q20" s="43" t="e">
        <f t="shared" si="3"/>
        <v>#REF!</v>
      </c>
      <c r="R20" s="43" t="e">
        <f t="shared" si="3"/>
        <v>#REF!</v>
      </c>
      <c r="S20" s="43" t="e">
        <f t="shared" si="3"/>
        <v>#REF!</v>
      </c>
      <c r="T20" s="43" t="e">
        <f t="shared" si="3"/>
        <v>#REF!</v>
      </c>
      <c r="U20" s="43" t="e">
        <f t="shared" si="3"/>
        <v>#REF!</v>
      </c>
      <c r="V20" s="43" t="e">
        <f t="shared" si="3"/>
        <v>#REF!</v>
      </c>
      <c r="W20" s="43" t="e">
        <f t="shared" si="3"/>
        <v>#REF!</v>
      </c>
    </row>
    <row r="21" spans="1:23" ht="15">
      <c r="A21" s="41">
        <v>4</v>
      </c>
      <c r="B21" s="66" t="s">
        <v>69</v>
      </c>
      <c r="C21" s="74"/>
      <c r="D21" s="75" t="e">
        <f>D20</f>
        <v>#REF!</v>
      </c>
      <c r="E21" s="43" t="e">
        <f>D21+E20</f>
        <v>#REF!</v>
      </c>
      <c r="F21" s="43" t="e">
        <f>E21+F20</f>
        <v>#REF!</v>
      </c>
      <c r="G21" s="43" t="e">
        <f>F21+G20</f>
        <v>#REF!</v>
      </c>
      <c r="H21" s="43" t="e">
        <f t="shared" ref="H21:W21" si="4">G21+H20</f>
        <v>#REF!</v>
      </c>
      <c r="I21" s="43" t="e">
        <f t="shared" si="4"/>
        <v>#REF!</v>
      </c>
      <c r="J21" s="43" t="e">
        <f t="shared" si="4"/>
        <v>#REF!</v>
      </c>
      <c r="K21" s="43" t="e">
        <f t="shared" si="4"/>
        <v>#REF!</v>
      </c>
      <c r="L21" s="43" t="e">
        <f t="shared" si="4"/>
        <v>#REF!</v>
      </c>
      <c r="M21" s="43" t="e">
        <f t="shared" si="4"/>
        <v>#REF!</v>
      </c>
      <c r="N21" s="43" t="e">
        <f t="shared" si="4"/>
        <v>#REF!</v>
      </c>
      <c r="O21" s="43" t="e">
        <f t="shared" si="4"/>
        <v>#REF!</v>
      </c>
      <c r="P21" s="43" t="e">
        <f t="shared" si="4"/>
        <v>#REF!</v>
      </c>
      <c r="Q21" s="43" t="e">
        <f t="shared" si="4"/>
        <v>#REF!</v>
      </c>
      <c r="R21" s="43" t="e">
        <f t="shared" si="4"/>
        <v>#REF!</v>
      </c>
      <c r="S21" s="43" t="e">
        <f t="shared" si="4"/>
        <v>#REF!</v>
      </c>
      <c r="T21" s="43" t="e">
        <f t="shared" si="4"/>
        <v>#REF!</v>
      </c>
      <c r="U21" s="43" t="e">
        <f t="shared" si="4"/>
        <v>#REF!</v>
      </c>
      <c r="V21" s="43" t="e">
        <f t="shared" si="4"/>
        <v>#REF!</v>
      </c>
      <c r="W21" s="43" t="e">
        <f t="shared" si="4"/>
        <v>#REF!</v>
      </c>
    </row>
    <row r="22" spans="1:23" ht="15">
      <c r="A22" s="41">
        <v>5</v>
      </c>
      <c r="B22" s="66" t="s">
        <v>582</v>
      </c>
      <c r="C22" s="74" t="e">
        <f>SUM(D22:W22)</f>
        <v>#REF!</v>
      </c>
      <c r="D22" s="75" t="e">
        <f>D20/POWER(1+$C$28,D3)</f>
        <v>#REF!</v>
      </c>
      <c r="E22" s="75" t="e">
        <f t="shared" ref="E22:W22" si="5">E20/POWER(1+$C$28,E3)</f>
        <v>#REF!</v>
      </c>
      <c r="F22" s="75" t="e">
        <f t="shared" si="5"/>
        <v>#REF!</v>
      </c>
      <c r="G22" s="75" t="e">
        <f t="shared" si="5"/>
        <v>#REF!</v>
      </c>
      <c r="H22" s="75" t="e">
        <f t="shared" si="5"/>
        <v>#REF!</v>
      </c>
      <c r="I22" s="75" t="e">
        <f t="shared" si="5"/>
        <v>#REF!</v>
      </c>
      <c r="J22" s="75" t="e">
        <f t="shared" si="5"/>
        <v>#REF!</v>
      </c>
      <c r="K22" s="75" t="e">
        <f t="shared" si="5"/>
        <v>#REF!</v>
      </c>
      <c r="L22" s="75" t="e">
        <f t="shared" si="5"/>
        <v>#REF!</v>
      </c>
      <c r="M22" s="75" t="e">
        <f t="shared" si="5"/>
        <v>#REF!</v>
      </c>
      <c r="N22" s="75" t="e">
        <f t="shared" si="5"/>
        <v>#REF!</v>
      </c>
      <c r="O22" s="75" t="e">
        <f t="shared" si="5"/>
        <v>#REF!</v>
      </c>
      <c r="P22" s="75" t="e">
        <f t="shared" si="5"/>
        <v>#REF!</v>
      </c>
      <c r="Q22" s="75" t="e">
        <f t="shared" si="5"/>
        <v>#REF!</v>
      </c>
      <c r="R22" s="75" t="e">
        <f t="shared" si="5"/>
        <v>#REF!</v>
      </c>
      <c r="S22" s="75" t="e">
        <f t="shared" si="5"/>
        <v>#REF!</v>
      </c>
      <c r="T22" s="75" t="e">
        <f t="shared" si="5"/>
        <v>#REF!</v>
      </c>
      <c r="U22" s="75" t="e">
        <f t="shared" si="5"/>
        <v>#REF!</v>
      </c>
      <c r="V22" s="75" t="e">
        <f t="shared" si="5"/>
        <v>#REF!</v>
      </c>
      <c r="W22" s="75" t="e">
        <f t="shared" si="5"/>
        <v>#REF!</v>
      </c>
    </row>
    <row r="23" spans="1:23" ht="15">
      <c r="A23" s="41">
        <v>6</v>
      </c>
      <c r="B23" s="66" t="s">
        <v>583</v>
      </c>
      <c r="C23" s="74"/>
      <c r="D23" s="75" t="e">
        <f>D22</f>
        <v>#REF!</v>
      </c>
      <c r="E23" s="75" t="e">
        <f>D23+E22</f>
        <v>#REF!</v>
      </c>
      <c r="F23" s="75" t="e">
        <f t="shared" ref="F23:W23" si="6">E23+F22</f>
        <v>#REF!</v>
      </c>
      <c r="G23" s="75" t="e">
        <f t="shared" si="6"/>
        <v>#REF!</v>
      </c>
      <c r="H23" s="75" t="e">
        <f t="shared" si="6"/>
        <v>#REF!</v>
      </c>
      <c r="I23" s="75" t="e">
        <f t="shared" si="6"/>
        <v>#REF!</v>
      </c>
      <c r="J23" s="75" t="e">
        <f t="shared" si="6"/>
        <v>#REF!</v>
      </c>
      <c r="K23" s="75" t="e">
        <f t="shared" si="6"/>
        <v>#REF!</v>
      </c>
      <c r="L23" s="75" t="e">
        <f t="shared" si="6"/>
        <v>#REF!</v>
      </c>
      <c r="M23" s="75" t="e">
        <f t="shared" si="6"/>
        <v>#REF!</v>
      </c>
      <c r="N23" s="75" t="e">
        <f t="shared" si="6"/>
        <v>#REF!</v>
      </c>
      <c r="O23" s="75" t="e">
        <f t="shared" si="6"/>
        <v>#REF!</v>
      </c>
      <c r="P23" s="75" t="e">
        <f t="shared" si="6"/>
        <v>#REF!</v>
      </c>
      <c r="Q23" s="75" t="e">
        <f t="shared" si="6"/>
        <v>#REF!</v>
      </c>
      <c r="R23" s="75" t="e">
        <f t="shared" si="6"/>
        <v>#REF!</v>
      </c>
      <c r="S23" s="75" t="e">
        <f t="shared" si="6"/>
        <v>#REF!</v>
      </c>
      <c r="T23" s="75" t="e">
        <f t="shared" si="6"/>
        <v>#REF!</v>
      </c>
      <c r="U23" s="75" t="e">
        <f t="shared" si="6"/>
        <v>#REF!</v>
      </c>
      <c r="V23" s="75" t="e">
        <f t="shared" si="6"/>
        <v>#REF!</v>
      </c>
      <c r="W23" s="75" t="e">
        <f t="shared" si="6"/>
        <v>#REF!</v>
      </c>
    </row>
    <row r="24" spans="1:23" ht="15">
      <c r="A24" s="41">
        <v>7</v>
      </c>
      <c r="B24" s="66" t="s">
        <v>70</v>
      </c>
      <c r="C24" s="74" t="e">
        <f t="shared" si="0"/>
        <v>#REF!</v>
      </c>
      <c r="D24" s="75" t="e">
        <f>D20+D17</f>
        <v>#REF!</v>
      </c>
      <c r="E24" s="75" t="e">
        <f t="shared" ref="E24:W24" si="7">E20+E17</f>
        <v>#REF!</v>
      </c>
      <c r="F24" s="75" t="e">
        <f t="shared" si="7"/>
        <v>#REF!</v>
      </c>
      <c r="G24" s="75" t="e">
        <f t="shared" si="7"/>
        <v>#REF!</v>
      </c>
      <c r="H24" s="75" t="e">
        <f t="shared" si="7"/>
        <v>#REF!</v>
      </c>
      <c r="I24" s="75" t="e">
        <f t="shared" si="7"/>
        <v>#REF!</v>
      </c>
      <c r="J24" s="75" t="e">
        <f t="shared" si="7"/>
        <v>#REF!</v>
      </c>
      <c r="K24" s="75" t="e">
        <f t="shared" si="7"/>
        <v>#REF!</v>
      </c>
      <c r="L24" s="75" t="e">
        <f t="shared" si="7"/>
        <v>#REF!</v>
      </c>
      <c r="M24" s="75" t="e">
        <f t="shared" si="7"/>
        <v>#REF!</v>
      </c>
      <c r="N24" s="75" t="e">
        <f t="shared" si="7"/>
        <v>#REF!</v>
      </c>
      <c r="O24" s="75" t="e">
        <f t="shared" si="7"/>
        <v>#REF!</v>
      </c>
      <c r="P24" s="75" t="e">
        <f t="shared" si="7"/>
        <v>#REF!</v>
      </c>
      <c r="Q24" s="75" t="e">
        <f t="shared" si="7"/>
        <v>#REF!</v>
      </c>
      <c r="R24" s="75" t="e">
        <f t="shared" si="7"/>
        <v>#REF!</v>
      </c>
      <c r="S24" s="75" t="e">
        <f t="shared" si="7"/>
        <v>#REF!</v>
      </c>
      <c r="T24" s="75" t="e">
        <f t="shared" si="7"/>
        <v>#REF!</v>
      </c>
      <c r="U24" s="75" t="e">
        <f t="shared" si="7"/>
        <v>#REF!</v>
      </c>
      <c r="V24" s="75" t="e">
        <f t="shared" si="7"/>
        <v>#REF!</v>
      </c>
      <c r="W24" s="75" t="e">
        <f t="shared" si="7"/>
        <v>#REF!</v>
      </c>
    </row>
    <row r="25" spans="1:23" ht="15">
      <c r="A25" s="41">
        <v>8</v>
      </c>
      <c r="B25" s="66" t="s">
        <v>584</v>
      </c>
      <c r="C25" s="74"/>
      <c r="D25" s="43" t="e">
        <f>D24</f>
        <v>#REF!</v>
      </c>
      <c r="E25" s="75" t="e">
        <f>D25+E24</f>
        <v>#REF!</v>
      </c>
      <c r="F25" s="75" t="e">
        <f t="shared" ref="F25:W25" si="8">E25+F24</f>
        <v>#REF!</v>
      </c>
      <c r="G25" s="75" t="e">
        <f t="shared" si="8"/>
        <v>#REF!</v>
      </c>
      <c r="H25" s="75" t="e">
        <f t="shared" si="8"/>
        <v>#REF!</v>
      </c>
      <c r="I25" s="75" t="e">
        <f t="shared" si="8"/>
        <v>#REF!</v>
      </c>
      <c r="J25" s="75" t="e">
        <f t="shared" si="8"/>
        <v>#REF!</v>
      </c>
      <c r="K25" s="75" t="e">
        <f t="shared" si="8"/>
        <v>#REF!</v>
      </c>
      <c r="L25" s="75" t="e">
        <f t="shared" si="8"/>
        <v>#REF!</v>
      </c>
      <c r="M25" s="75" t="e">
        <f t="shared" si="8"/>
        <v>#REF!</v>
      </c>
      <c r="N25" s="75" t="e">
        <f t="shared" si="8"/>
        <v>#REF!</v>
      </c>
      <c r="O25" s="75" t="e">
        <f t="shared" si="8"/>
        <v>#REF!</v>
      </c>
      <c r="P25" s="75" t="e">
        <f t="shared" si="8"/>
        <v>#REF!</v>
      </c>
      <c r="Q25" s="75" t="e">
        <f t="shared" si="8"/>
        <v>#REF!</v>
      </c>
      <c r="R25" s="75" t="e">
        <f t="shared" si="8"/>
        <v>#REF!</v>
      </c>
      <c r="S25" s="75" t="e">
        <f t="shared" si="8"/>
        <v>#REF!</v>
      </c>
      <c r="T25" s="75" t="e">
        <f t="shared" si="8"/>
        <v>#REF!</v>
      </c>
      <c r="U25" s="75" t="e">
        <f t="shared" si="8"/>
        <v>#REF!</v>
      </c>
      <c r="V25" s="75" t="e">
        <f t="shared" si="8"/>
        <v>#REF!</v>
      </c>
      <c r="W25" s="75" t="e">
        <f t="shared" si="8"/>
        <v>#REF!</v>
      </c>
    </row>
    <row r="26" spans="1:23" ht="15">
      <c r="A26" s="41">
        <v>9</v>
      </c>
      <c r="B26" s="66" t="s">
        <v>585</v>
      </c>
      <c r="C26" s="74" t="e">
        <f t="shared" si="0"/>
        <v>#REF!</v>
      </c>
      <c r="D26" s="43" t="e">
        <f t="shared" ref="D26:W26" si="9">D24/POWER(1+$C$28,D3)</f>
        <v>#REF!</v>
      </c>
      <c r="E26" s="43" t="e">
        <f t="shared" si="9"/>
        <v>#REF!</v>
      </c>
      <c r="F26" s="43" t="e">
        <f t="shared" si="9"/>
        <v>#REF!</v>
      </c>
      <c r="G26" s="43" t="e">
        <f t="shared" si="9"/>
        <v>#REF!</v>
      </c>
      <c r="H26" s="43" t="e">
        <f t="shared" si="9"/>
        <v>#REF!</v>
      </c>
      <c r="I26" s="43" t="e">
        <f t="shared" si="9"/>
        <v>#REF!</v>
      </c>
      <c r="J26" s="43" t="e">
        <f t="shared" si="9"/>
        <v>#REF!</v>
      </c>
      <c r="K26" s="43" t="e">
        <f t="shared" si="9"/>
        <v>#REF!</v>
      </c>
      <c r="L26" s="43" t="e">
        <f t="shared" si="9"/>
        <v>#REF!</v>
      </c>
      <c r="M26" s="43" t="e">
        <f t="shared" si="9"/>
        <v>#REF!</v>
      </c>
      <c r="N26" s="43" t="e">
        <f t="shared" si="9"/>
        <v>#REF!</v>
      </c>
      <c r="O26" s="43" t="e">
        <f t="shared" si="9"/>
        <v>#REF!</v>
      </c>
      <c r="P26" s="43" t="e">
        <f t="shared" si="9"/>
        <v>#REF!</v>
      </c>
      <c r="Q26" s="43" t="e">
        <f t="shared" si="9"/>
        <v>#REF!</v>
      </c>
      <c r="R26" s="43" t="e">
        <f t="shared" si="9"/>
        <v>#REF!</v>
      </c>
      <c r="S26" s="43" t="e">
        <f t="shared" si="9"/>
        <v>#REF!</v>
      </c>
      <c r="T26" s="43" t="e">
        <f t="shared" si="9"/>
        <v>#REF!</v>
      </c>
      <c r="U26" s="43" t="e">
        <f t="shared" si="9"/>
        <v>#REF!</v>
      </c>
      <c r="V26" s="43" t="e">
        <f t="shared" si="9"/>
        <v>#REF!</v>
      </c>
      <c r="W26" s="43" t="e">
        <f t="shared" si="9"/>
        <v>#REF!</v>
      </c>
    </row>
    <row r="27" spans="1:23" ht="15">
      <c r="A27" s="41">
        <v>10</v>
      </c>
      <c r="B27" s="66" t="s">
        <v>586</v>
      </c>
      <c r="C27" s="74"/>
      <c r="D27" s="43" t="e">
        <f>D26</f>
        <v>#REF!</v>
      </c>
      <c r="E27" s="43" t="e">
        <f>D27+E26</f>
        <v>#REF!</v>
      </c>
      <c r="F27" s="43" t="e">
        <f t="shared" ref="F27:W27" si="10">E27+F26</f>
        <v>#REF!</v>
      </c>
      <c r="G27" s="43" t="e">
        <f t="shared" si="10"/>
        <v>#REF!</v>
      </c>
      <c r="H27" s="43" t="e">
        <f t="shared" si="10"/>
        <v>#REF!</v>
      </c>
      <c r="I27" s="43" t="e">
        <f t="shared" si="10"/>
        <v>#REF!</v>
      </c>
      <c r="J27" s="43" t="e">
        <f t="shared" si="10"/>
        <v>#REF!</v>
      </c>
      <c r="K27" s="43" t="e">
        <f t="shared" si="10"/>
        <v>#REF!</v>
      </c>
      <c r="L27" s="43" t="e">
        <f t="shared" si="10"/>
        <v>#REF!</v>
      </c>
      <c r="M27" s="43" t="e">
        <f t="shared" si="10"/>
        <v>#REF!</v>
      </c>
      <c r="N27" s="43" t="e">
        <f t="shared" si="10"/>
        <v>#REF!</v>
      </c>
      <c r="O27" s="43" t="e">
        <f t="shared" si="10"/>
        <v>#REF!</v>
      </c>
      <c r="P27" s="43" t="e">
        <f t="shared" si="10"/>
        <v>#REF!</v>
      </c>
      <c r="Q27" s="43" t="e">
        <f t="shared" si="10"/>
        <v>#REF!</v>
      </c>
      <c r="R27" s="43" t="e">
        <f t="shared" si="10"/>
        <v>#REF!</v>
      </c>
      <c r="S27" s="43" t="e">
        <f t="shared" si="10"/>
        <v>#REF!</v>
      </c>
      <c r="T27" s="43" t="e">
        <f t="shared" si="10"/>
        <v>#REF!</v>
      </c>
      <c r="U27" s="43" t="e">
        <f t="shared" si="10"/>
        <v>#REF!</v>
      </c>
      <c r="V27" s="43" t="e">
        <f t="shared" si="10"/>
        <v>#REF!</v>
      </c>
      <c r="W27" s="43" t="e">
        <f t="shared" si="10"/>
        <v>#REF!</v>
      </c>
    </row>
    <row r="28" spans="1:23" ht="15.5">
      <c r="A28" s="100"/>
      <c r="B28" s="66" t="s">
        <v>267</v>
      </c>
      <c r="C28" s="213">
        <v>7.0000000000000007E-2</v>
      </c>
      <c r="D28" s="102"/>
      <c r="E28" s="102"/>
      <c r="F28" s="66" t="s">
        <v>72</v>
      </c>
      <c r="G28" s="66"/>
      <c r="H28" s="66"/>
      <c r="I28" s="66"/>
      <c r="J28" s="66"/>
      <c r="K28" s="66"/>
      <c r="L28" s="66"/>
      <c r="M28" s="66" t="s">
        <v>73</v>
      </c>
      <c r="N28" s="41"/>
      <c r="O28" s="40"/>
      <c r="P28" s="40"/>
      <c r="Q28" s="40"/>
      <c r="R28" s="40"/>
      <c r="S28" s="40"/>
      <c r="T28" s="40"/>
      <c r="U28" s="40"/>
      <c r="V28" s="40"/>
      <c r="W28" s="40"/>
    </row>
    <row r="29" spans="1:23" ht="15.5">
      <c r="A29" s="408" t="s">
        <v>268</v>
      </c>
      <c r="B29" s="409"/>
      <c r="C29" s="101"/>
      <c r="D29" s="102"/>
      <c r="E29" s="102"/>
      <c r="F29" s="215" t="e">
        <f>IRR(D20:W20)</f>
        <v>#VALUE!</v>
      </c>
      <c r="G29" s="43"/>
      <c r="H29" s="43"/>
      <c r="I29" s="43"/>
      <c r="J29" s="43"/>
      <c r="K29" s="43"/>
      <c r="L29" s="43"/>
      <c r="M29" s="215" t="e">
        <f>IRR(D24:W24)</f>
        <v>#VALUE!</v>
      </c>
      <c r="N29" s="41"/>
      <c r="O29" s="40"/>
      <c r="P29" s="40"/>
      <c r="Q29" s="40"/>
      <c r="R29" s="40"/>
      <c r="S29" s="40"/>
      <c r="T29" s="40"/>
      <c r="U29" s="40"/>
      <c r="V29" s="40"/>
      <c r="W29" s="40"/>
    </row>
    <row r="30" spans="1:23" ht="15.5">
      <c r="A30" s="408" t="s">
        <v>269</v>
      </c>
      <c r="B30" s="409"/>
      <c r="C30" s="101"/>
      <c r="D30" s="102"/>
      <c r="E30" s="102"/>
      <c r="F30" s="43" t="e">
        <f>NPV($C$28,D20:W20)</f>
        <v>#REF!</v>
      </c>
      <c r="G30" s="43" t="s">
        <v>270</v>
      </c>
      <c r="H30" s="43"/>
      <c r="I30" s="43"/>
      <c r="J30" s="43"/>
      <c r="K30" s="43"/>
      <c r="L30" s="43"/>
      <c r="M30" s="43" t="e">
        <f>NPV($C$28,D24:W24)</f>
        <v>#REF!</v>
      </c>
      <c r="N30" s="41"/>
      <c r="O30" s="40"/>
      <c r="P30" s="40"/>
      <c r="Q30" s="40"/>
      <c r="R30" s="40"/>
      <c r="S30" s="40"/>
      <c r="T30" s="40"/>
      <c r="U30" s="40"/>
      <c r="V30" s="40"/>
      <c r="W30" s="40"/>
    </row>
    <row r="31" spans="1:23" ht="15.5">
      <c r="A31" s="408" t="s">
        <v>271</v>
      </c>
      <c r="B31" s="409"/>
      <c r="C31" s="101"/>
      <c r="D31" s="102"/>
      <c r="E31" s="102"/>
      <c r="F31" s="43" t="e">
        <f>14-Q23/R22</f>
        <v>#REF!</v>
      </c>
      <c r="G31" s="43"/>
      <c r="H31" s="43"/>
      <c r="I31" s="43"/>
      <c r="J31" s="43"/>
      <c r="K31" s="43"/>
      <c r="L31" s="43"/>
      <c r="M31" s="43" t="e">
        <f>11-N27/O26</f>
        <v>#REF!</v>
      </c>
      <c r="N31" s="41"/>
      <c r="O31" s="40"/>
      <c r="P31" s="40"/>
      <c r="Q31" s="40"/>
      <c r="R31" s="40"/>
      <c r="S31" s="40"/>
      <c r="T31" s="40"/>
      <c r="U31" s="40"/>
      <c r="V31" s="40"/>
      <c r="W31" s="40"/>
    </row>
    <row r="32" spans="1:23" ht="15.5">
      <c r="A32" s="408" t="s">
        <v>272</v>
      </c>
      <c r="B32" s="409"/>
      <c r="C32" s="101"/>
      <c r="D32" s="103"/>
      <c r="E32" s="103"/>
      <c r="F32" s="43" t="e">
        <f>10-M21/N20</f>
        <v>#REF!</v>
      </c>
      <c r="G32" s="43"/>
      <c r="H32" s="43"/>
      <c r="I32" s="43"/>
      <c r="J32" s="43"/>
      <c r="K32" s="43"/>
      <c r="L32" s="43"/>
      <c r="M32" s="43" t="e">
        <f>8-K25/L24</f>
        <v>#REF!</v>
      </c>
      <c r="N32" s="39"/>
      <c r="O32" s="39"/>
      <c r="P32" s="39"/>
      <c r="Q32" s="39"/>
      <c r="R32" s="39"/>
      <c r="S32" s="39"/>
      <c r="T32" s="39"/>
      <c r="U32" s="39"/>
      <c r="V32" s="39"/>
      <c r="W32" s="39"/>
    </row>
    <row r="33" spans="3:3">
      <c r="C33" s="80"/>
    </row>
  </sheetData>
  <mergeCells count="10">
    <mergeCell ref="A32:B32"/>
    <mergeCell ref="A30:B30"/>
    <mergeCell ref="A31:B31"/>
    <mergeCell ref="A29:B29"/>
    <mergeCell ref="A1:W1"/>
    <mergeCell ref="A2:A3"/>
    <mergeCell ref="B2:B3"/>
    <mergeCell ref="C2:C3"/>
    <mergeCell ref="D2:E2"/>
    <mergeCell ref="F2:W2"/>
  </mergeCells>
  <phoneticPr fontId="7" type="noConversion"/>
  <pageMargins left="0.7" right="0.7" top="0.75" bottom="0.75" header="0.3" footer="0.3"/>
  <pageSetup paperSize="9" orientation="portrait"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W30"/>
  <sheetViews>
    <sheetView zoomScale="80" zoomScaleNormal="80" workbookViewId="0">
      <selection activeCell="Z27" sqref="Z27"/>
    </sheetView>
  </sheetViews>
  <sheetFormatPr defaultRowHeight="12.5"/>
  <cols>
    <col min="1" max="1" width="8.81640625" bestFit="1" customWidth="1"/>
    <col min="2" max="2" width="38" customWidth="1"/>
    <col min="3" max="3" width="15" customWidth="1"/>
    <col min="4" max="4" width="12.1796875" bestFit="1" customWidth="1"/>
    <col min="5" max="5" width="13.81640625" bestFit="1" customWidth="1"/>
    <col min="6" max="6" width="11.54296875" bestFit="1" customWidth="1"/>
    <col min="7" max="7" width="11.1796875" bestFit="1" customWidth="1"/>
    <col min="8" max="9" width="12" bestFit="1" customWidth="1"/>
    <col min="10" max="10" width="11.1796875" bestFit="1" customWidth="1"/>
    <col min="11" max="13" width="9.54296875" bestFit="1" customWidth="1"/>
    <col min="14" max="15" width="10.453125" bestFit="1" customWidth="1"/>
    <col min="16" max="16" width="10" bestFit="1" customWidth="1"/>
    <col min="17" max="22" width="9.54296875" bestFit="1" customWidth="1"/>
    <col min="23" max="23" width="11.81640625" customWidth="1"/>
  </cols>
  <sheetData>
    <row r="1" spans="1:23" ht="21">
      <c r="A1" s="401" t="s">
        <v>247</v>
      </c>
      <c r="B1" s="402"/>
      <c r="C1" s="402"/>
      <c r="D1" s="402"/>
      <c r="E1" s="402"/>
      <c r="F1" s="402"/>
      <c r="G1" s="402"/>
      <c r="H1" s="402"/>
      <c r="I1" s="402"/>
      <c r="J1" s="402"/>
      <c r="K1" s="402"/>
      <c r="L1" s="402"/>
      <c r="M1" s="402"/>
      <c r="N1" s="402"/>
      <c r="O1" s="402"/>
      <c r="P1" s="402"/>
      <c r="Q1" s="402"/>
      <c r="R1" s="402"/>
      <c r="S1" s="402"/>
      <c r="T1" s="402"/>
      <c r="U1" s="402"/>
      <c r="V1" s="402"/>
      <c r="W1" s="403"/>
    </row>
    <row r="2" spans="1:23" s="11" customFormat="1" ht="15">
      <c r="A2" s="410" t="s">
        <v>91</v>
      </c>
      <c r="B2" s="412" t="s">
        <v>6</v>
      </c>
      <c r="C2" s="413" t="s">
        <v>76</v>
      </c>
      <c r="D2" s="415" t="s">
        <v>57</v>
      </c>
      <c r="E2" s="416"/>
      <c r="F2" s="416" t="s">
        <v>113</v>
      </c>
      <c r="G2" s="416"/>
      <c r="H2" s="416"/>
      <c r="I2" s="416"/>
      <c r="J2" s="416"/>
      <c r="K2" s="416"/>
      <c r="L2" s="416"/>
      <c r="M2" s="416"/>
      <c r="N2" s="416"/>
      <c r="O2" s="416"/>
      <c r="P2" s="416"/>
      <c r="Q2" s="416"/>
      <c r="R2" s="416"/>
      <c r="S2" s="416"/>
      <c r="T2" s="416"/>
      <c r="U2" s="416"/>
      <c r="V2" s="416"/>
      <c r="W2" s="417"/>
    </row>
    <row r="3" spans="1:23" s="11" customFormat="1" ht="15">
      <c r="A3" s="411"/>
      <c r="B3" s="412"/>
      <c r="C3" s="414"/>
      <c r="D3" s="69">
        <v>2021</v>
      </c>
      <c r="E3" s="69">
        <v>2022</v>
      </c>
      <c r="F3" s="69">
        <v>2023</v>
      </c>
      <c r="G3" s="69">
        <v>2024</v>
      </c>
      <c r="H3" s="69">
        <v>2025</v>
      </c>
      <c r="I3" s="69">
        <v>2026</v>
      </c>
      <c r="J3" s="69">
        <v>2027</v>
      </c>
      <c r="K3" s="69">
        <v>2028</v>
      </c>
      <c r="L3" s="69">
        <v>2029</v>
      </c>
      <c r="M3" s="69">
        <v>2030</v>
      </c>
      <c r="N3" s="69">
        <v>2031</v>
      </c>
      <c r="O3" s="69">
        <v>2032</v>
      </c>
      <c r="P3" s="69">
        <v>2033</v>
      </c>
      <c r="Q3" s="69">
        <v>2034</v>
      </c>
      <c r="R3" s="69">
        <v>2035</v>
      </c>
      <c r="S3" s="69">
        <v>2036</v>
      </c>
      <c r="T3" s="69">
        <v>2037</v>
      </c>
      <c r="U3" s="69">
        <v>2038</v>
      </c>
      <c r="V3" s="69">
        <v>2039</v>
      </c>
      <c r="W3" s="69">
        <v>2040</v>
      </c>
    </row>
    <row r="4" spans="1:23" ht="15.5">
      <c r="A4" s="94">
        <v>1</v>
      </c>
      <c r="B4" s="95" t="s">
        <v>10</v>
      </c>
      <c r="C4" s="95"/>
      <c r="D4" s="94"/>
      <c r="E4" s="94"/>
      <c r="F4" s="94"/>
      <c r="G4" s="94"/>
      <c r="H4" s="94"/>
      <c r="I4" s="94"/>
      <c r="J4" s="94"/>
      <c r="K4" s="94"/>
      <c r="L4" s="94"/>
      <c r="M4" s="94"/>
      <c r="N4" s="94"/>
      <c r="O4" s="96"/>
      <c r="P4" s="96"/>
      <c r="Q4" s="96"/>
      <c r="R4" s="96"/>
      <c r="S4" s="96"/>
      <c r="T4" s="96"/>
      <c r="U4" s="96"/>
      <c r="V4" s="96"/>
      <c r="W4" s="96"/>
    </row>
    <row r="5" spans="1:23" ht="15">
      <c r="A5" s="41">
        <v>1.1000000000000001</v>
      </c>
      <c r="B5" s="66" t="s">
        <v>256</v>
      </c>
      <c r="C5" s="74" t="e">
        <f>SUM(D5:W5)</f>
        <v>#REF!</v>
      </c>
      <c r="D5" s="75" t="e">
        <f>营业收入估算表!D4</f>
        <v>#REF!</v>
      </c>
      <c r="E5" s="43" t="e">
        <f>营业收入估算表!E4</f>
        <v>#REF!</v>
      </c>
      <c r="F5" s="43" t="e">
        <f>营业收入估算表!F4</f>
        <v>#REF!</v>
      </c>
      <c r="G5" s="43" t="e">
        <f>营业收入估算表!G4</f>
        <v>#REF!</v>
      </c>
      <c r="H5" s="43" t="e">
        <f>营业收入估算表!H4</f>
        <v>#REF!</v>
      </c>
      <c r="I5" s="43" t="e">
        <f>营业收入估算表!I4</f>
        <v>#REF!</v>
      </c>
      <c r="J5" s="43" t="e">
        <f>营业收入估算表!J4</f>
        <v>#REF!</v>
      </c>
      <c r="K5" s="43" t="e">
        <f>营业收入估算表!K4</f>
        <v>#REF!</v>
      </c>
      <c r="L5" s="43" t="e">
        <f>营业收入估算表!L4</f>
        <v>#REF!</v>
      </c>
      <c r="M5" s="43" t="e">
        <f>营业收入估算表!M4</f>
        <v>#REF!</v>
      </c>
      <c r="N5" s="43" t="e">
        <f>营业收入估算表!N4</f>
        <v>#REF!</v>
      </c>
      <c r="O5" s="43" t="e">
        <f>营业收入估算表!O4</f>
        <v>#REF!</v>
      </c>
      <c r="P5" s="43" t="e">
        <f>营业收入估算表!P4</f>
        <v>#REF!</v>
      </c>
      <c r="Q5" s="43" t="e">
        <f>营业收入估算表!Q4</f>
        <v>#REF!</v>
      </c>
      <c r="R5" s="43" t="e">
        <f>营业收入估算表!R4</f>
        <v>#REF!</v>
      </c>
      <c r="S5" s="43" t="e">
        <f>营业收入估算表!S4</f>
        <v>#REF!</v>
      </c>
      <c r="T5" s="43" t="e">
        <f>营业收入估算表!T4</f>
        <v>#REF!</v>
      </c>
      <c r="U5" s="43" t="e">
        <f>营业收入估算表!U4</f>
        <v>#REF!</v>
      </c>
      <c r="V5" s="43" t="e">
        <f>营业收入估算表!V4</f>
        <v>#REF!</v>
      </c>
      <c r="W5" s="43" t="e">
        <f>营业收入估算表!W4</f>
        <v>#REF!</v>
      </c>
    </row>
    <row r="6" spans="1:23" ht="15">
      <c r="A6" s="41">
        <v>1.2</v>
      </c>
      <c r="B6" s="66" t="s">
        <v>257</v>
      </c>
      <c r="C6" s="74">
        <f t="shared" ref="C6:C20" si="0">SUM(D6:W6)</f>
        <v>0</v>
      </c>
      <c r="D6" s="75">
        <f>利润表!C5</f>
        <v>0</v>
      </c>
      <c r="E6" s="43">
        <f>利润表!D5</f>
        <v>0</v>
      </c>
      <c r="F6" s="43">
        <f>利润表!E5</f>
        <v>0</v>
      </c>
      <c r="G6" s="43">
        <f>利润表!F5</f>
        <v>0</v>
      </c>
      <c r="H6" s="43">
        <f>利润表!G5</f>
        <v>0</v>
      </c>
      <c r="I6" s="43">
        <f>利润表!H5</f>
        <v>0</v>
      </c>
      <c r="J6" s="43">
        <f>利润表!I5</f>
        <v>0</v>
      </c>
      <c r="K6" s="43">
        <f>利润表!J5</f>
        <v>0</v>
      </c>
      <c r="L6" s="43">
        <f>利润表!K5</f>
        <v>0</v>
      </c>
      <c r="M6" s="43">
        <f>利润表!L5</f>
        <v>0</v>
      </c>
      <c r="N6" s="43">
        <f>利润表!M5</f>
        <v>0</v>
      </c>
      <c r="O6" s="43">
        <f>利润表!N5</f>
        <v>0</v>
      </c>
      <c r="P6" s="43">
        <f>利润表!O5</f>
        <v>0</v>
      </c>
      <c r="Q6" s="43">
        <f>利润表!P5</f>
        <v>0</v>
      </c>
      <c r="R6" s="43">
        <f>利润表!Q5</f>
        <v>0</v>
      </c>
      <c r="S6" s="43">
        <f>利润表!R5</f>
        <v>0</v>
      </c>
      <c r="T6" s="43">
        <f>利润表!S5</f>
        <v>0</v>
      </c>
      <c r="U6" s="43">
        <f>利润表!T5</f>
        <v>0</v>
      </c>
      <c r="V6" s="43">
        <f>利润表!U5</f>
        <v>0</v>
      </c>
      <c r="W6" s="43">
        <f>利润表!V5</f>
        <v>0</v>
      </c>
    </row>
    <row r="7" spans="1:23" ht="15.5">
      <c r="A7" s="41">
        <v>1.3</v>
      </c>
      <c r="B7" s="66" t="s">
        <v>258</v>
      </c>
      <c r="C7" s="74" t="e">
        <f t="shared" si="0"/>
        <v>#REF!</v>
      </c>
      <c r="D7" s="73"/>
      <c r="E7" s="41"/>
      <c r="F7" s="41"/>
      <c r="G7" s="41"/>
      <c r="H7" s="41"/>
      <c r="I7" s="41"/>
      <c r="J7" s="41"/>
      <c r="K7" s="41"/>
      <c r="L7" s="41"/>
      <c r="M7" s="41"/>
      <c r="N7" s="41"/>
      <c r="O7" s="40"/>
      <c r="P7" s="40"/>
      <c r="Q7" s="40"/>
      <c r="R7" s="40"/>
      <c r="S7" s="40"/>
      <c r="T7" s="40"/>
      <c r="U7" s="40"/>
      <c r="V7" s="40"/>
      <c r="W7" s="43" t="e">
        <f>折旧费用估算表!W28/10000</f>
        <v>#REF!</v>
      </c>
    </row>
    <row r="8" spans="1:23" ht="15">
      <c r="A8" s="41">
        <v>1.4</v>
      </c>
      <c r="B8" s="66" t="s">
        <v>259</v>
      </c>
      <c r="C8" s="74" t="e">
        <f t="shared" si="0"/>
        <v>#REF!</v>
      </c>
      <c r="D8" s="75">
        <f>还本付息表!D6</f>
        <v>0</v>
      </c>
      <c r="E8" s="43">
        <f>还本付息表!E6</f>
        <v>0</v>
      </c>
      <c r="F8" s="43">
        <f>还本付息表!F6</f>
        <v>0</v>
      </c>
      <c r="G8" s="43">
        <f>还本付息表!G6</f>
        <v>0</v>
      </c>
      <c r="H8" s="43">
        <f>还本付息表!H6</f>
        <v>0</v>
      </c>
      <c r="I8" s="43">
        <f>还本付息表!I6</f>
        <v>0</v>
      </c>
      <c r="J8" s="43">
        <f>还本付息表!J6</f>
        <v>0</v>
      </c>
      <c r="K8" s="43">
        <f>还本付息表!K6</f>
        <v>0</v>
      </c>
      <c r="L8" s="43">
        <f>还本付息表!L6</f>
        <v>0</v>
      </c>
      <c r="M8" s="43">
        <f>还本付息表!M6</f>
        <v>0</v>
      </c>
      <c r="N8" s="43">
        <f>还本付息表!N6</f>
        <v>0</v>
      </c>
      <c r="O8" s="43">
        <f>还本付息表!O6</f>
        <v>0</v>
      </c>
      <c r="P8" s="43">
        <f>还本付息表!P6</f>
        <v>0</v>
      </c>
      <c r="Q8" s="43">
        <f>还本付息表!Q6</f>
        <v>0</v>
      </c>
      <c r="R8" s="43">
        <f>还本付息表!R6</f>
        <v>0</v>
      </c>
      <c r="S8" s="43">
        <f>还本付息表!S6</f>
        <v>0</v>
      </c>
      <c r="T8" s="43">
        <f>还本付息表!T6</f>
        <v>0</v>
      </c>
      <c r="U8" s="43">
        <f>还本付息表!U6</f>
        <v>0</v>
      </c>
      <c r="V8" s="43">
        <f>还本付息表!V6</f>
        <v>0</v>
      </c>
      <c r="W8" s="214" t="e">
        <f>总投资估算表!F38/10000</f>
        <v>#REF!</v>
      </c>
    </row>
    <row r="9" spans="1:23" ht="15">
      <c r="A9" s="41">
        <v>1.5</v>
      </c>
      <c r="B9" s="66" t="s">
        <v>66</v>
      </c>
      <c r="C9" s="74" t="e">
        <f t="shared" si="0"/>
        <v>#REF!</v>
      </c>
      <c r="D9" s="75" t="e">
        <f>SUM(D5:D8)</f>
        <v>#REF!</v>
      </c>
      <c r="E9" s="43" t="e">
        <f t="shared" ref="E9:W9" si="1">SUM(E5:E8)</f>
        <v>#REF!</v>
      </c>
      <c r="F9" s="43" t="e">
        <f t="shared" si="1"/>
        <v>#REF!</v>
      </c>
      <c r="G9" s="43" t="e">
        <f t="shared" si="1"/>
        <v>#REF!</v>
      </c>
      <c r="H9" s="43" t="e">
        <f t="shared" si="1"/>
        <v>#REF!</v>
      </c>
      <c r="I9" s="43" t="e">
        <f t="shared" si="1"/>
        <v>#REF!</v>
      </c>
      <c r="J9" s="43" t="e">
        <f t="shared" si="1"/>
        <v>#REF!</v>
      </c>
      <c r="K9" s="43" t="e">
        <f t="shared" si="1"/>
        <v>#REF!</v>
      </c>
      <c r="L9" s="43" t="e">
        <f t="shared" si="1"/>
        <v>#REF!</v>
      </c>
      <c r="M9" s="43" t="e">
        <f t="shared" si="1"/>
        <v>#REF!</v>
      </c>
      <c r="N9" s="43" t="e">
        <f t="shared" si="1"/>
        <v>#REF!</v>
      </c>
      <c r="O9" s="43" t="e">
        <f t="shared" si="1"/>
        <v>#REF!</v>
      </c>
      <c r="P9" s="43" t="e">
        <f t="shared" si="1"/>
        <v>#REF!</v>
      </c>
      <c r="Q9" s="43" t="e">
        <f t="shared" si="1"/>
        <v>#REF!</v>
      </c>
      <c r="R9" s="43" t="e">
        <f t="shared" si="1"/>
        <v>#REF!</v>
      </c>
      <c r="S9" s="43" t="e">
        <f t="shared" si="1"/>
        <v>#REF!</v>
      </c>
      <c r="T9" s="43" t="e">
        <f t="shared" si="1"/>
        <v>#REF!</v>
      </c>
      <c r="U9" s="43" t="e">
        <f t="shared" si="1"/>
        <v>#REF!</v>
      </c>
      <c r="V9" s="43" t="e">
        <f t="shared" si="1"/>
        <v>#REF!</v>
      </c>
      <c r="W9" s="214" t="e">
        <f t="shared" si="1"/>
        <v>#REF!</v>
      </c>
    </row>
    <row r="10" spans="1:23" ht="15.5">
      <c r="A10" s="94">
        <v>2</v>
      </c>
      <c r="B10" s="95" t="s">
        <v>11</v>
      </c>
      <c r="C10" s="95"/>
      <c r="D10" s="94"/>
      <c r="E10" s="94"/>
      <c r="F10" s="94"/>
      <c r="G10" s="94"/>
      <c r="H10" s="94"/>
      <c r="I10" s="94"/>
      <c r="J10" s="94"/>
      <c r="K10" s="94"/>
      <c r="L10" s="94"/>
      <c r="M10" s="94"/>
      <c r="N10" s="94"/>
      <c r="O10" s="96"/>
      <c r="P10" s="96"/>
      <c r="Q10" s="96"/>
      <c r="R10" s="96"/>
      <c r="S10" s="96"/>
      <c r="T10" s="96"/>
      <c r="U10" s="96"/>
      <c r="V10" s="96"/>
      <c r="W10" s="96"/>
    </row>
    <row r="11" spans="1:23" ht="15.5">
      <c r="A11" s="41">
        <v>2.1</v>
      </c>
      <c r="B11" s="66" t="s">
        <v>249</v>
      </c>
      <c r="C11" s="74" t="e">
        <f t="shared" si="0"/>
        <v>#REF!</v>
      </c>
      <c r="D11" s="75" t="e">
        <f>项目全投资现金流量表!D12</f>
        <v>#REF!</v>
      </c>
      <c r="E11" s="75" t="e">
        <f>项目全投资现金流量表!E12</f>
        <v>#REF!</v>
      </c>
      <c r="F11" s="41"/>
      <c r="G11" s="41"/>
      <c r="H11" s="41"/>
      <c r="I11" s="41"/>
      <c r="J11" s="41"/>
      <c r="K11" s="41"/>
      <c r="L11" s="41"/>
      <c r="M11" s="41"/>
      <c r="N11" s="41"/>
      <c r="O11" s="40"/>
      <c r="P11" s="40"/>
      <c r="Q11" s="40"/>
      <c r="R11" s="40"/>
      <c r="S11" s="40"/>
      <c r="T11" s="40"/>
      <c r="U11" s="40"/>
      <c r="V11" s="40"/>
      <c r="W11" s="40"/>
    </row>
    <row r="12" spans="1:23" ht="15.5">
      <c r="A12" s="41">
        <v>2.2000000000000002</v>
      </c>
      <c r="B12" s="66" t="s">
        <v>250</v>
      </c>
      <c r="C12" s="74"/>
      <c r="D12" s="75"/>
      <c r="E12" s="75" t="e">
        <f>项目全投资现金流量表!E13</f>
        <v>#REF!</v>
      </c>
      <c r="F12" s="41"/>
      <c r="G12" s="41"/>
      <c r="H12" s="41"/>
      <c r="I12" s="41"/>
      <c r="J12" s="41"/>
      <c r="K12" s="41"/>
      <c r="L12" s="41"/>
      <c r="M12" s="41"/>
      <c r="N12" s="41"/>
      <c r="O12" s="40"/>
      <c r="P12" s="40"/>
      <c r="Q12" s="40"/>
      <c r="R12" s="40"/>
      <c r="S12" s="40"/>
      <c r="T12" s="40"/>
      <c r="U12" s="40"/>
      <c r="V12" s="40"/>
      <c r="W12" s="40"/>
    </row>
    <row r="13" spans="1:23" ht="15">
      <c r="A13" s="41">
        <v>2.2999999999999998</v>
      </c>
      <c r="B13" s="66" t="s">
        <v>255</v>
      </c>
      <c r="C13" s="74" t="e">
        <f t="shared" si="0"/>
        <v>#REF!</v>
      </c>
      <c r="D13" s="75" t="e">
        <f>项目全投资现金流量表!D14</f>
        <v>#REF!</v>
      </c>
      <c r="E13" s="75" t="e">
        <f>项目全投资现金流量表!E14</f>
        <v>#REF!</v>
      </c>
      <c r="F13" s="75" t="e">
        <f>项目全投资现金流量表!F14</f>
        <v>#REF!</v>
      </c>
      <c r="G13" s="75" t="e">
        <f>项目全投资现金流量表!G14</f>
        <v>#REF!</v>
      </c>
      <c r="H13" s="75" t="e">
        <f>项目全投资现金流量表!H14</f>
        <v>#REF!</v>
      </c>
      <c r="I13" s="75" t="e">
        <f>项目全投资现金流量表!I14</f>
        <v>#REF!</v>
      </c>
      <c r="J13" s="75" t="e">
        <f>项目全投资现金流量表!J14</f>
        <v>#REF!</v>
      </c>
      <c r="K13" s="75" t="e">
        <f>项目全投资现金流量表!K14</f>
        <v>#REF!</v>
      </c>
      <c r="L13" s="75" t="e">
        <f>项目全投资现金流量表!L14</f>
        <v>#REF!</v>
      </c>
      <c r="M13" s="75" t="e">
        <f>项目全投资现金流量表!M14</f>
        <v>#REF!</v>
      </c>
      <c r="N13" s="75" t="e">
        <f>项目全投资现金流量表!N14</f>
        <v>#REF!</v>
      </c>
      <c r="O13" s="75" t="e">
        <f>项目全投资现金流量表!O14</f>
        <v>#REF!</v>
      </c>
      <c r="P13" s="75" t="e">
        <f>项目全投资现金流量表!P14</f>
        <v>#REF!</v>
      </c>
      <c r="Q13" s="75" t="e">
        <f>项目全投资现金流量表!Q14</f>
        <v>#REF!</v>
      </c>
      <c r="R13" s="75" t="e">
        <f>项目全投资现金流量表!R14</f>
        <v>#REF!</v>
      </c>
      <c r="S13" s="75" t="e">
        <f>项目全投资现金流量表!S14</f>
        <v>#REF!</v>
      </c>
      <c r="T13" s="75" t="e">
        <f>项目全投资现金流量表!T14</f>
        <v>#REF!</v>
      </c>
      <c r="U13" s="75" t="e">
        <f>项目全投资现金流量表!U14</f>
        <v>#REF!</v>
      </c>
      <c r="V13" s="75" t="e">
        <f>项目全投资现金流量表!V14</f>
        <v>#REF!</v>
      </c>
      <c r="W13" s="75" t="e">
        <f>项目全投资现金流量表!W14</f>
        <v>#REF!</v>
      </c>
    </row>
    <row r="14" spans="1:23" ht="15">
      <c r="A14" s="41">
        <v>2.4</v>
      </c>
      <c r="B14" s="66" t="s">
        <v>251</v>
      </c>
      <c r="C14" s="74" t="e">
        <f t="shared" si="0"/>
        <v>#REF!</v>
      </c>
      <c r="D14" s="75" t="e">
        <f>总成本费用估算表!D5</f>
        <v>#REF!</v>
      </c>
      <c r="E14" s="75" t="e">
        <f>总成本费用估算表!E5</f>
        <v>#REF!</v>
      </c>
      <c r="F14" s="75" t="e">
        <f>总成本费用估算表!F5</f>
        <v>#REF!</v>
      </c>
      <c r="G14" s="75" t="e">
        <f>总成本费用估算表!G5</f>
        <v>#REF!</v>
      </c>
      <c r="H14" s="75" t="e">
        <f>总成本费用估算表!H5</f>
        <v>#REF!</v>
      </c>
      <c r="I14" s="75" t="e">
        <f>总成本费用估算表!I5</f>
        <v>#REF!</v>
      </c>
      <c r="J14" s="75" t="e">
        <f>总成本费用估算表!J5</f>
        <v>#REF!</v>
      </c>
      <c r="K14" s="75" t="e">
        <f>总成本费用估算表!K5</f>
        <v>#REF!</v>
      </c>
      <c r="L14" s="75" t="e">
        <f>总成本费用估算表!L5</f>
        <v>#REF!</v>
      </c>
      <c r="M14" s="75" t="e">
        <f>总成本费用估算表!M5</f>
        <v>#REF!</v>
      </c>
      <c r="N14" s="75" t="e">
        <f>总成本费用估算表!N5</f>
        <v>#REF!</v>
      </c>
      <c r="O14" s="75" t="e">
        <f>总成本费用估算表!O5</f>
        <v>#REF!</v>
      </c>
      <c r="P14" s="75" t="e">
        <f>总成本费用估算表!P5</f>
        <v>#REF!</v>
      </c>
      <c r="Q14" s="75" t="e">
        <f>总成本费用估算表!Q5</f>
        <v>#REF!</v>
      </c>
      <c r="R14" s="75" t="e">
        <f>总成本费用估算表!R5</f>
        <v>#REF!</v>
      </c>
      <c r="S14" s="75" t="e">
        <f>总成本费用估算表!S5</f>
        <v>#REF!</v>
      </c>
      <c r="T14" s="75" t="e">
        <f>总成本费用估算表!T5</f>
        <v>#REF!</v>
      </c>
      <c r="U14" s="75" t="e">
        <f>总成本费用估算表!U5</f>
        <v>#REF!</v>
      </c>
      <c r="V14" s="75" t="e">
        <f>总成本费用估算表!V5</f>
        <v>#REF!</v>
      </c>
      <c r="W14" s="75" t="e">
        <f>总成本费用估算表!W5</f>
        <v>#REF!</v>
      </c>
    </row>
    <row r="15" spans="1:23" ht="15">
      <c r="A15" s="41">
        <v>2.5</v>
      </c>
      <c r="B15" s="66" t="s">
        <v>263</v>
      </c>
      <c r="C15" s="74"/>
      <c r="D15" s="75"/>
      <c r="E15" s="43"/>
      <c r="F15" s="43"/>
      <c r="G15" s="43"/>
      <c r="H15" s="43"/>
      <c r="I15" s="43"/>
      <c r="J15" s="43"/>
      <c r="K15" s="43"/>
      <c r="L15" s="43"/>
      <c r="M15" s="43"/>
      <c r="N15" s="43"/>
      <c r="O15" s="43"/>
      <c r="P15" s="43"/>
      <c r="Q15" s="43"/>
      <c r="R15" s="43"/>
      <c r="S15" s="43"/>
      <c r="T15" s="43"/>
      <c r="U15" s="43"/>
      <c r="V15" s="43"/>
      <c r="W15" s="43"/>
    </row>
    <row r="16" spans="1:23" ht="15">
      <c r="A16" s="41">
        <v>2.6</v>
      </c>
      <c r="B16" s="66" t="s">
        <v>264</v>
      </c>
      <c r="C16" s="74"/>
      <c r="D16" s="75"/>
      <c r="E16" s="43"/>
      <c r="F16" s="43"/>
      <c r="G16" s="43"/>
      <c r="H16" s="43"/>
      <c r="I16" s="43"/>
      <c r="J16" s="43"/>
      <c r="K16" s="43"/>
      <c r="L16" s="43"/>
      <c r="M16" s="43"/>
      <c r="N16" s="43"/>
      <c r="O16" s="43"/>
      <c r="P16" s="43"/>
      <c r="Q16" s="43"/>
      <c r="R16" s="43"/>
      <c r="S16" s="43"/>
      <c r="T16" s="43"/>
      <c r="U16" s="43"/>
      <c r="V16" s="43"/>
      <c r="W16" s="43"/>
    </row>
    <row r="17" spans="1:23" ht="15">
      <c r="A17" s="41">
        <v>2.7</v>
      </c>
      <c r="B17" s="66" t="s">
        <v>8</v>
      </c>
      <c r="C17" s="74" t="e">
        <f t="shared" si="0"/>
        <v>#REF!</v>
      </c>
      <c r="D17" s="75" t="e">
        <f>利润表!C10</f>
        <v>#REF!</v>
      </c>
      <c r="E17" s="43" t="e">
        <f>利润表!D10</f>
        <v>#REF!</v>
      </c>
      <c r="F17" s="43" t="e">
        <f>利润表!E10</f>
        <v>#REF!</v>
      </c>
      <c r="G17" s="43" t="e">
        <f>利润表!F10</f>
        <v>#REF!</v>
      </c>
      <c r="H17" s="43" t="e">
        <f>利润表!G10</f>
        <v>#REF!</v>
      </c>
      <c r="I17" s="43" t="e">
        <f>利润表!H10</f>
        <v>#REF!</v>
      </c>
      <c r="J17" s="43" t="e">
        <f>利润表!I10</f>
        <v>#REF!</v>
      </c>
      <c r="K17" s="43" t="e">
        <f>利润表!J10</f>
        <v>#REF!</v>
      </c>
      <c r="L17" s="43" t="e">
        <f>利润表!K10</f>
        <v>#REF!</v>
      </c>
      <c r="M17" s="43" t="e">
        <f>利润表!L10</f>
        <v>#REF!</v>
      </c>
      <c r="N17" s="43" t="e">
        <f>利润表!M10</f>
        <v>#REF!</v>
      </c>
      <c r="O17" s="43" t="e">
        <f>利润表!N10</f>
        <v>#REF!</v>
      </c>
      <c r="P17" s="43" t="e">
        <f>利润表!O10</f>
        <v>#REF!</v>
      </c>
      <c r="Q17" s="43" t="e">
        <f>利润表!P10</f>
        <v>#REF!</v>
      </c>
      <c r="R17" s="43" t="e">
        <f>利润表!Q10</f>
        <v>#REF!</v>
      </c>
      <c r="S17" s="43" t="e">
        <f>利润表!R10</f>
        <v>#REF!</v>
      </c>
      <c r="T17" s="43" t="e">
        <f>利润表!S10</f>
        <v>#REF!</v>
      </c>
      <c r="U17" s="43" t="e">
        <f>利润表!T10</f>
        <v>#REF!</v>
      </c>
      <c r="V17" s="43" t="e">
        <f>利润表!U10</f>
        <v>#REF!</v>
      </c>
      <c r="W17" s="43" t="e">
        <f>利润表!V10</f>
        <v>#REF!</v>
      </c>
    </row>
    <row r="18" spans="1:23" ht="15">
      <c r="A18" s="41">
        <v>2.8</v>
      </c>
      <c r="B18" s="66" t="s">
        <v>262</v>
      </c>
      <c r="C18" s="74"/>
      <c r="D18" s="75"/>
      <c r="E18" s="43"/>
      <c r="F18" s="43"/>
      <c r="G18" s="43"/>
      <c r="H18" s="43"/>
      <c r="I18" s="43"/>
      <c r="J18" s="43"/>
      <c r="K18" s="43"/>
      <c r="L18" s="43"/>
      <c r="M18" s="43"/>
      <c r="N18" s="43"/>
      <c r="O18" s="43"/>
      <c r="P18" s="43"/>
      <c r="Q18" s="43"/>
      <c r="R18" s="43"/>
      <c r="S18" s="43"/>
      <c r="T18" s="43"/>
      <c r="U18" s="43"/>
      <c r="V18" s="43"/>
      <c r="W18" s="43"/>
    </row>
    <row r="19" spans="1:23" ht="15">
      <c r="A19" s="41">
        <v>2.9</v>
      </c>
      <c r="B19" s="66" t="s">
        <v>67</v>
      </c>
      <c r="C19" s="74" t="e">
        <f t="shared" si="0"/>
        <v>#REF!</v>
      </c>
      <c r="D19" s="75" t="e">
        <f t="shared" ref="D19:W19" si="2">SUM(D11:D17)</f>
        <v>#REF!</v>
      </c>
      <c r="E19" s="43" t="e">
        <f t="shared" si="2"/>
        <v>#REF!</v>
      </c>
      <c r="F19" s="43" t="e">
        <f t="shared" si="2"/>
        <v>#REF!</v>
      </c>
      <c r="G19" s="43" t="e">
        <f t="shared" si="2"/>
        <v>#REF!</v>
      </c>
      <c r="H19" s="43" t="e">
        <f t="shared" si="2"/>
        <v>#REF!</v>
      </c>
      <c r="I19" s="43" t="e">
        <f t="shared" si="2"/>
        <v>#REF!</v>
      </c>
      <c r="J19" s="43" t="e">
        <f t="shared" si="2"/>
        <v>#REF!</v>
      </c>
      <c r="K19" s="43" t="e">
        <f t="shared" si="2"/>
        <v>#REF!</v>
      </c>
      <c r="L19" s="43" t="e">
        <f t="shared" si="2"/>
        <v>#REF!</v>
      </c>
      <c r="M19" s="43" t="e">
        <f t="shared" si="2"/>
        <v>#REF!</v>
      </c>
      <c r="N19" s="43" t="e">
        <f t="shared" si="2"/>
        <v>#REF!</v>
      </c>
      <c r="O19" s="43" t="e">
        <f t="shared" si="2"/>
        <v>#REF!</v>
      </c>
      <c r="P19" s="43" t="e">
        <f t="shared" si="2"/>
        <v>#REF!</v>
      </c>
      <c r="Q19" s="43" t="e">
        <f t="shared" si="2"/>
        <v>#REF!</v>
      </c>
      <c r="R19" s="43" t="e">
        <f t="shared" si="2"/>
        <v>#REF!</v>
      </c>
      <c r="S19" s="43" t="e">
        <f t="shared" si="2"/>
        <v>#REF!</v>
      </c>
      <c r="T19" s="43" t="e">
        <f t="shared" si="2"/>
        <v>#REF!</v>
      </c>
      <c r="U19" s="43" t="e">
        <f t="shared" si="2"/>
        <v>#REF!</v>
      </c>
      <c r="V19" s="43" t="e">
        <f t="shared" si="2"/>
        <v>#REF!</v>
      </c>
      <c r="W19" s="43" t="e">
        <f t="shared" si="2"/>
        <v>#REF!</v>
      </c>
    </row>
    <row r="20" spans="1:23" ht="15">
      <c r="A20" s="41">
        <v>3</v>
      </c>
      <c r="B20" s="66" t="s">
        <v>68</v>
      </c>
      <c r="C20" s="74" t="e">
        <f t="shared" si="0"/>
        <v>#REF!</v>
      </c>
      <c r="D20" s="75" t="e">
        <f t="shared" ref="D20:W20" si="3">D9-D19</f>
        <v>#REF!</v>
      </c>
      <c r="E20" s="43" t="e">
        <f t="shared" si="3"/>
        <v>#REF!</v>
      </c>
      <c r="F20" s="43" t="e">
        <f t="shared" si="3"/>
        <v>#REF!</v>
      </c>
      <c r="G20" s="43" t="e">
        <f t="shared" si="3"/>
        <v>#REF!</v>
      </c>
      <c r="H20" s="43" t="e">
        <f t="shared" si="3"/>
        <v>#REF!</v>
      </c>
      <c r="I20" s="43" t="e">
        <f t="shared" si="3"/>
        <v>#REF!</v>
      </c>
      <c r="J20" s="43" t="e">
        <f t="shared" si="3"/>
        <v>#REF!</v>
      </c>
      <c r="K20" s="43" t="e">
        <f t="shared" si="3"/>
        <v>#REF!</v>
      </c>
      <c r="L20" s="43" t="e">
        <f t="shared" si="3"/>
        <v>#REF!</v>
      </c>
      <c r="M20" s="43" t="e">
        <f t="shared" si="3"/>
        <v>#REF!</v>
      </c>
      <c r="N20" s="43" t="e">
        <f t="shared" si="3"/>
        <v>#REF!</v>
      </c>
      <c r="O20" s="43" t="e">
        <f t="shared" si="3"/>
        <v>#REF!</v>
      </c>
      <c r="P20" s="43" t="e">
        <f t="shared" si="3"/>
        <v>#REF!</v>
      </c>
      <c r="Q20" s="43" t="e">
        <f t="shared" si="3"/>
        <v>#REF!</v>
      </c>
      <c r="R20" s="43" t="e">
        <f t="shared" si="3"/>
        <v>#REF!</v>
      </c>
      <c r="S20" s="43" t="e">
        <f t="shared" si="3"/>
        <v>#REF!</v>
      </c>
      <c r="T20" s="43" t="e">
        <f t="shared" si="3"/>
        <v>#REF!</v>
      </c>
      <c r="U20" s="43" t="e">
        <f t="shared" si="3"/>
        <v>#REF!</v>
      </c>
      <c r="V20" s="43" t="e">
        <f t="shared" si="3"/>
        <v>#REF!</v>
      </c>
      <c r="W20" s="43" t="e">
        <f t="shared" si="3"/>
        <v>#REF!</v>
      </c>
    </row>
    <row r="21" spans="1:23" ht="15">
      <c r="A21" s="41">
        <v>4</v>
      </c>
      <c r="B21" s="66" t="s">
        <v>69</v>
      </c>
      <c r="C21" s="72"/>
      <c r="D21" s="76" t="e">
        <f>D20</f>
        <v>#REF!</v>
      </c>
      <c r="E21" s="70" t="e">
        <f>D21+E20</f>
        <v>#REF!</v>
      </c>
      <c r="F21" s="70" t="e">
        <f>E21+F20</f>
        <v>#REF!</v>
      </c>
      <c r="G21" s="70" t="e">
        <f>F21+G20</f>
        <v>#REF!</v>
      </c>
      <c r="H21" s="70" t="e">
        <f t="shared" ref="H21:W21" si="4">G21+H20</f>
        <v>#REF!</v>
      </c>
      <c r="I21" s="70" t="e">
        <f t="shared" si="4"/>
        <v>#REF!</v>
      </c>
      <c r="J21" s="70" t="e">
        <f t="shared" si="4"/>
        <v>#REF!</v>
      </c>
      <c r="K21" s="70" t="e">
        <f t="shared" si="4"/>
        <v>#REF!</v>
      </c>
      <c r="L21" s="70" t="e">
        <f t="shared" si="4"/>
        <v>#REF!</v>
      </c>
      <c r="M21" s="70" t="e">
        <f t="shared" si="4"/>
        <v>#REF!</v>
      </c>
      <c r="N21" s="70" t="e">
        <f t="shared" si="4"/>
        <v>#REF!</v>
      </c>
      <c r="O21" s="70" t="e">
        <f t="shared" si="4"/>
        <v>#REF!</v>
      </c>
      <c r="P21" s="70" t="e">
        <f t="shared" si="4"/>
        <v>#REF!</v>
      </c>
      <c r="Q21" s="70" t="e">
        <f t="shared" si="4"/>
        <v>#REF!</v>
      </c>
      <c r="R21" s="70" t="e">
        <f t="shared" si="4"/>
        <v>#REF!</v>
      </c>
      <c r="S21" s="70" t="e">
        <f t="shared" si="4"/>
        <v>#REF!</v>
      </c>
      <c r="T21" s="70" t="e">
        <f t="shared" si="4"/>
        <v>#REF!</v>
      </c>
      <c r="U21" s="70" t="e">
        <f t="shared" si="4"/>
        <v>#REF!</v>
      </c>
      <c r="V21" s="70" t="e">
        <f t="shared" si="4"/>
        <v>#REF!</v>
      </c>
      <c r="W21" s="70" t="e">
        <f t="shared" si="4"/>
        <v>#REF!</v>
      </c>
    </row>
    <row r="22" spans="1:23" ht="15.5">
      <c r="A22" s="41">
        <v>5</v>
      </c>
      <c r="B22" s="66" t="s">
        <v>70</v>
      </c>
      <c r="C22" s="66"/>
      <c r="D22" s="41"/>
      <c r="E22" s="41"/>
      <c r="F22" s="41"/>
      <c r="G22" s="41"/>
      <c r="H22" s="41"/>
      <c r="I22" s="41"/>
      <c r="J22" s="41"/>
      <c r="K22" s="41"/>
      <c r="L22" s="41"/>
      <c r="M22" s="41"/>
      <c r="N22" s="41"/>
      <c r="O22" s="40"/>
      <c r="P22" s="40"/>
      <c r="Q22" s="40"/>
      <c r="R22" s="40"/>
      <c r="S22" s="40"/>
      <c r="T22" s="40"/>
      <c r="U22" s="40"/>
      <c r="V22" s="40"/>
      <c r="W22" s="40"/>
    </row>
    <row r="23" spans="1:23" ht="15.5">
      <c r="A23" s="41">
        <v>6</v>
      </c>
      <c r="B23" s="66" t="s">
        <v>71</v>
      </c>
      <c r="C23" s="66"/>
      <c r="D23" s="41"/>
      <c r="E23" s="41"/>
      <c r="F23" s="41"/>
      <c r="G23" s="41"/>
      <c r="H23" s="41"/>
      <c r="I23" s="41"/>
      <c r="J23" s="41"/>
      <c r="K23" s="41"/>
      <c r="L23" s="41"/>
      <c r="M23" s="41"/>
      <c r="N23" s="41"/>
      <c r="O23" s="40"/>
      <c r="P23" s="40"/>
      <c r="Q23" s="40"/>
      <c r="R23" s="40"/>
      <c r="S23" s="40"/>
      <c r="T23" s="40"/>
      <c r="U23" s="40"/>
      <c r="V23" s="40"/>
      <c r="W23" s="40"/>
    </row>
    <row r="24" spans="1:23" ht="15.5">
      <c r="A24" s="41">
        <v>7</v>
      </c>
      <c r="B24" s="66" t="s">
        <v>265</v>
      </c>
      <c r="C24" s="66"/>
      <c r="D24" s="41"/>
      <c r="E24" s="41"/>
      <c r="F24" s="41"/>
      <c r="G24" s="41"/>
      <c r="H24" s="41"/>
      <c r="I24" s="41"/>
      <c r="J24" s="41"/>
      <c r="K24" s="41"/>
      <c r="L24" s="41"/>
      <c r="M24" s="41"/>
      <c r="N24" s="41"/>
      <c r="O24" s="40"/>
      <c r="P24" s="40"/>
      <c r="Q24" s="40"/>
      <c r="R24" s="40"/>
      <c r="S24" s="40"/>
      <c r="T24" s="40"/>
      <c r="U24" s="40"/>
      <c r="V24" s="40"/>
      <c r="W24" s="40"/>
    </row>
    <row r="25" spans="1:23" ht="15.5">
      <c r="A25" s="41">
        <v>8</v>
      </c>
      <c r="B25" s="66" t="s">
        <v>266</v>
      </c>
      <c r="C25" s="66"/>
      <c r="D25" s="41"/>
      <c r="E25" s="41"/>
      <c r="F25" s="41"/>
      <c r="G25" s="41"/>
      <c r="H25" s="41"/>
      <c r="I25" s="41"/>
      <c r="J25" s="41"/>
      <c r="K25" s="41"/>
      <c r="L25" s="41"/>
      <c r="M25" s="41"/>
      <c r="N25" s="41"/>
      <c r="O25" s="40"/>
      <c r="P25" s="40"/>
      <c r="Q25" s="40"/>
      <c r="R25" s="40"/>
      <c r="S25" s="40"/>
      <c r="T25" s="40"/>
      <c r="U25" s="40"/>
      <c r="V25" s="40"/>
      <c r="W25" s="40"/>
    </row>
    <row r="26" spans="1:23" ht="15.5">
      <c r="A26" s="100"/>
      <c r="B26" s="66" t="s">
        <v>267</v>
      </c>
      <c r="C26" s="104">
        <v>7.0000000000000007E-2</v>
      </c>
      <c r="D26" s="102"/>
      <c r="E26" s="102"/>
      <c r="F26" s="66" t="s">
        <v>72</v>
      </c>
      <c r="G26" s="66"/>
      <c r="H26" s="66"/>
      <c r="I26" s="66"/>
      <c r="J26" s="66"/>
      <c r="K26" s="66"/>
      <c r="L26" s="66"/>
      <c r="M26" s="66" t="s">
        <v>73</v>
      </c>
      <c r="N26" s="41"/>
      <c r="O26" s="40"/>
      <c r="P26" s="40"/>
      <c r="Q26" s="40"/>
      <c r="R26" s="40"/>
      <c r="S26" s="40"/>
      <c r="T26" s="40"/>
      <c r="U26" s="40"/>
      <c r="V26" s="40"/>
      <c r="W26" s="40"/>
    </row>
    <row r="27" spans="1:23" ht="15.5">
      <c r="A27" s="408" t="s">
        <v>268</v>
      </c>
      <c r="B27" s="409"/>
      <c r="C27" s="101"/>
      <c r="D27" s="102"/>
      <c r="E27" s="102"/>
      <c r="F27" s="43" t="e">
        <f>IRR(D20:W20)</f>
        <v>#VALUE!</v>
      </c>
      <c r="G27" s="43"/>
      <c r="H27" s="43"/>
      <c r="I27" s="43"/>
      <c r="J27" s="43"/>
      <c r="K27" s="43"/>
      <c r="L27" s="43"/>
      <c r="M27" s="43" t="e">
        <f>IRR(D22:AH22)</f>
        <v>#NUM!</v>
      </c>
      <c r="N27" s="41"/>
      <c r="O27" s="40"/>
      <c r="P27" s="40"/>
      <c r="Q27" s="40"/>
      <c r="R27" s="40"/>
      <c r="S27" s="40"/>
      <c r="T27" s="40"/>
      <c r="U27" s="40"/>
      <c r="V27" s="40"/>
      <c r="W27" s="40"/>
    </row>
    <row r="28" spans="1:23" ht="15.5">
      <c r="A28" s="408" t="s">
        <v>269</v>
      </c>
      <c r="B28" s="409"/>
      <c r="C28" s="101"/>
      <c r="D28" s="102"/>
      <c r="E28" s="102"/>
      <c r="F28" s="43" t="e">
        <f>NPV($C$27,D20:W20)</f>
        <v>#REF!</v>
      </c>
      <c r="G28" s="43" t="s">
        <v>270</v>
      </c>
      <c r="H28" s="43"/>
      <c r="I28" s="43"/>
      <c r="J28" s="43"/>
      <c r="K28" s="43"/>
      <c r="L28" s="43"/>
      <c r="M28" s="43">
        <f>NPV($C$27,D22:AH22)</f>
        <v>0</v>
      </c>
      <c r="N28" s="41"/>
      <c r="O28" s="40"/>
      <c r="P28" s="40"/>
      <c r="Q28" s="40"/>
      <c r="R28" s="40"/>
      <c r="S28" s="40"/>
      <c r="T28" s="40"/>
      <c r="U28" s="40"/>
      <c r="V28" s="40"/>
      <c r="W28" s="40"/>
    </row>
    <row r="29" spans="1:23" ht="15.5">
      <c r="A29" s="408" t="s">
        <v>271</v>
      </c>
      <c r="B29" s="409"/>
      <c r="C29" s="101"/>
      <c r="D29" s="102"/>
      <c r="E29" s="102"/>
      <c r="F29" s="43" t="e">
        <f>14-Q21/R20</f>
        <v>#REF!</v>
      </c>
      <c r="G29" s="43"/>
      <c r="H29" s="43"/>
      <c r="I29" s="43"/>
      <c r="J29" s="43"/>
      <c r="K29" s="43"/>
      <c r="L29" s="43"/>
      <c r="M29" s="43" t="e">
        <f>13-P25/Q24</f>
        <v>#DIV/0!</v>
      </c>
      <c r="N29" s="41"/>
      <c r="O29" s="40"/>
      <c r="P29" s="40"/>
      <c r="Q29" s="40"/>
      <c r="R29" s="40"/>
      <c r="S29" s="40"/>
      <c r="T29" s="40"/>
      <c r="U29" s="40"/>
      <c r="V29" s="40"/>
      <c r="W29" s="40"/>
    </row>
    <row r="30" spans="1:23" ht="15.5">
      <c r="A30" s="408" t="s">
        <v>272</v>
      </c>
      <c r="B30" s="409"/>
      <c r="C30" s="101"/>
      <c r="D30" s="103"/>
      <c r="E30" s="103"/>
      <c r="F30" s="43" t="e">
        <f>11-N19/O18</f>
        <v>#REF!</v>
      </c>
      <c r="G30" s="43"/>
      <c r="H30" s="43"/>
      <c r="I30" s="43"/>
      <c r="J30" s="43"/>
      <c r="K30" s="43"/>
      <c r="L30" s="43"/>
      <c r="M30" s="43" t="e">
        <f>11-N23/O22</f>
        <v>#DIV/0!</v>
      </c>
      <c r="N30" s="39"/>
      <c r="O30" s="39"/>
      <c r="P30" s="39"/>
      <c r="Q30" s="39"/>
      <c r="R30" s="39"/>
      <c r="S30" s="39"/>
      <c r="T30" s="39"/>
      <c r="U30" s="39"/>
      <c r="V30" s="39"/>
      <c r="W30" s="39"/>
    </row>
  </sheetData>
  <mergeCells count="10">
    <mergeCell ref="A28:B28"/>
    <mergeCell ref="A29:B29"/>
    <mergeCell ref="A30:B30"/>
    <mergeCell ref="A1:W1"/>
    <mergeCell ref="A2:A3"/>
    <mergeCell ref="D2:E2"/>
    <mergeCell ref="F2:W2"/>
    <mergeCell ref="B2:B3"/>
    <mergeCell ref="C2:C3"/>
    <mergeCell ref="A27:B27"/>
  </mergeCells>
  <phoneticPr fontId="7" type="noConversion"/>
  <pageMargins left="0.7" right="0.7" top="0.75" bottom="0.75" header="0.3" footer="0.3"/>
  <pageSetup paperSize="9"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AA3AFBE-92CB-4285-BE88-095F5A6150C7}">
  <sheetPr>
    <pageSetUpPr fitToPage="1"/>
  </sheetPr>
  <dimension ref="A1:E18"/>
  <sheetViews>
    <sheetView workbookViewId="0">
      <selection activeCell="B15" sqref="B15"/>
    </sheetView>
  </sheetViews>
  <sheetFormatPr defaultRowHeight="12.5"/>
  <cols>
    <col min="1" max="1" width="7.1796875" customWidth="1"/>
    <col min="2" max="2" width="37" customWidth="1"/>
    <col min="3" max="3" width="27.54296875" customWidth="1"/>
    <col min="4" max="4" width="48.1796875" customWidth="1"/>
    <col min="5" max="5" width="90.1796875" customWidth="1"/>
  </cols>
  <sheetData>
    <row r="1" spans="1:5" ht="14">
      <c r="A1" s="300" t="s">
        <v>97</v>
      </c>
      <c r="B1" s="342" t="s">
        <v>794</v>
      </c>
      <c r="C1" s="342"/>
      <c r="D1" s="342"/>
      <c r="E1" s="342"/>
    </row>
    <row r="2" spans="1:5" ht="14">
      <c r="A2" s="292" t="s">
        <v>91</v>
      </c>
      <c r="B2" s="292" t="s">
        <v>754</v>
      </c>
      <c r="C2" s="292" t="s">
        <v>845</v>
      </c>
      <c r="D2" s="292" t="s">
        <v>755</v>
      </c>
      <c r="E2" s="292" t="s">
        <v>756</v>
      </c>
    </row>
    <row r="3" spans="1:5" ht="21" customHeight="1">
      <c r="A3" s="298">
        <v>1</v>
      </c>
      <c r="B3" s="328" t="s">
        <v>852</v>
      </c>
      <c r="C3" s="312" t="e">
        <f>C6*输入值【1】!C6/10000</f>
        <v>#VALUE!</v>
      </c>
      <c r="D3" s="296" t="s">
        <v>854</v>
      </c>
      <c r="E3" s="299" t="s">
        <v>856</v>
      </c>
    </row>
    <row r="4" spans="1:5" ht="18.75" customHeight="1">
      <c r="A4" s="305">
        <v>2</v>
      </c>
      <c r="B4" s="328" t="s">
        <v>853</v>
      </c>
      <c r="C4" s="312" t="e">
        <f>输入值【1】!C4*输入值【1】!C7/10000</f>
        <v>#VALUE!</v>
      </c>
      <c r="D4" s="306" t="s">
        <v>855</v>
      </c>
      <c r="E4" s="304" t="s">
        <v>856</v>
      </c>
    </row>
    <row r="5" spans="1:5" ht="14">
      <c r="A5" s="329" t="s">
        <v>297</v>
      </c>
      <c r="B5" s="340" t="s">
        <v>827</v>
      </c>
      <c r="C5" s="340"/>
      <c r="D5" s="340"/>
      <c r="E5" s="340"/>
    </row>
    <row r="6" spans="1:5" ht="14">
      <c r="A6" s="305">
        <v>3</v>
      </c>
      <c r="B6" s="296" t="s">
        <v>809</v>
      </c>
      <c r="C6" s="312" t="e">
        <f>输入值【1】!C4/输入值【1】!C5</f>
        <v>#VALUE!</v>
      </c>
      <c r="D6" s="296" t="s">
        <v>810</v>
      </c>
      <c r="E6" s="327" t="s">
        <v>789</v>
      </c>
    </row>
    <row r="7" spans="1:5" ht="14">
      <c r="A7" s="305">
        <v>4</v>
      </c>
      <c r="B7" s="306" t="s">
        <v>812</v>
      </c>
      <c r="C7" s="312" t="e">
        <f>INT($C$6*输入值【1】!C17)</f>
        <v>#VALUE!</v>
      </c>
      <c r="D7" s="306" t="s">
        <v>811</v>
      </c>
      <c r="E7" s="327" t="s">
        <v>849</v>
      </c>
    </row>
    <row r="8" spans="1:5" ht="14">
      <c r="A8" s="305">
        <v>5</v>
      </c>
      <c r="B8" s="296" t="s">
        <v>813</v>
      </c>
      <c r="C8" s="312" t="e">
        <f>INT($C$6*输入值【1】!C18)</f>
        <v>#VALUE!</v>
      </c>
      <c r="D8" s="306" t="s">
        <v>815</v>
      </c>
      <c r="E8" s="327" t="s">
        <v>850</v>
      </c>
    </row>
    <row r="9" spans="1:5" ht="14">
      <c r="A9" s="305">
        <v>6</v>
      </c>
      <c r="B9" s="296" t="s">
        <v>814</v>
      </c>
      <c r="C9" s="312" t="e">
        <f>INT($C$6*输入值【1】!C19)</f>
        <v>#VALUE!</v>
      </c>
      <c r="D9" s="306" t="s">
        <v>816</v>
      </c>
      <c r="E9" s="327" t="s">
        <v>851</v>
      </c>
    </row>
    <row r="10" spans="1:5" ht="14">
      <c r="A10" s="329" t="s">
        <v>298</v>
      </c>
      <c r="B10" s="341" t="s">
        <v>795</v>
      </c>
      <c r="C10" s="341"/>
      <c r="D10" s="341"/>
      <c r="E10" s="341"/>
    </row>
    <row r="11" spans="1:5" ht="25.5" customHeight="1">
      <c r="A11" s="298">
        <v>7</v>
      </c>
      <c r="B11" s="296" t="s">
        <v>829</v>
      </c>
      <c r="C11" s="314" t="e">
        <f>$C$3*输入值【1】!C24*10000</f>
        <v>#VALUE!</v>
      </c>
      <c r="D11" s="296" t="s">
        <v>822</v>
      </c>
      <c r="E11" s="299" t="s">
        <v>790</v>
      </c>
    </row>
    <row r="12" spans="1:5" ht="27" customHeight="1">
      <c r="A12" s="298">
        <v>8</v>
      </c>
      <c r="B12" s="296" t="s">
        <v>490</v>
      </c>
      <c r="C12" s="314" t="e">
        <f>$C$3*输入值【1】!C25*10000</f>
        <v>#VALUE!</v>
      </c>
      <c r="D12" s="296" t="s">
        <v>821</v>
      </c>
      <c r="E12" s="299" t="s">
        <v>791</v>
      </c>
    </row>
    <row r="13" spans="1:5" ht="26.25" customHeight="1">
      <c r="A13" s="305">
        <v>9</v>
      </c>
      <c r="B13" s="296" t="s">
        <v>830</v>
      </c>
      <c r="C13" s="314" t="e">
        <f>$C$3*输入值【1】!C26*10000</f>
        <v>#VALUE!</v>
      </c>
      <c r="D13" s="306" t="s">
        <v>820</v>
      </c>
      <c r="E13" s="304" t="s">
        <v>792</v>
      </c>
    </row>
    <row r="14" spans="1:5" ht="27.75" customHeight="1">
      <c r="A14" s="326">
        <v>10.1</v>
      </c>
      <c r="B14" s="296" t="s">
        <v>831</v>
      </c>
      <c r="C14" s="313" t="e">
        <f>'个税计算表（高层）'!C33/10000*C7</f>
        <v>#VALUE!</v>
      </c>
      <c r="D14" s="324" t="s">
        <v>787</v>
      </c>
      <c r="E14" s="327" t="s">
        <v>844</v>
      </c>
    </row>
    <row r="15" spans="1:5" ht="33" customHeight="1">
      <c r="A15" s="326">
        <v>10.199999999999999</v>
      </c>
      <c r="B15" s="296" t="s">
        <v>832</v>
      </c>
      <c r="C15" s="313" t="e">
        <f>'个税计算表 (中层)'!C33/10000*C8</f>
        <v>#VALUE!</v>
      </c>
      <c r="D15" s="324" t="s">
        <v>787</v>
      </c>
      <c r="E15" s="327" t="s">
        <v>848</v>
      </c>
    </row>
    <row r="16" spans="1:5" ht="61.5" customHeight="1">
      <c r="A16" s="326">
        <v>10.3</v>
      </c>
      <c r="B16" s="296" t="s">
        <v>833</v>
      </c>
      <c r="C16" s="314" t="e">
        <f>'个税计算表 (普通)'!C33/10000*C9</f>
        <v>#VALUE!</v>
      </c>
      <c r="D16" s="324" t="s">
        <v>787</v>
      </c>
      <c r="E16" s="327" t="s">
        <v>848</v>
      </c>
    </row>
    <row r="17" spans="1:5" ht="18.75" customHeight="1">
      <c r="A17" s="329" t="s">
        <v>796</v>
      </c>
      <c r="B17" s="340" t="s">
        <v>797</v>
      </c>
      <c r="C17" s="340"/>
      <c r="D17" s="340"/>
      <c r="E17" s="340"/>
    </row>
    <row r="18" spans="1:5" ht="42">
      <c r="A18" s="298">
        <v>11</v>
      </c>
      <c r="B18" s="296" t="s">
        <v>834</v>
      </c>
      <c r="C18" s="314" t="e">
        <f>C3*输入值【1】!C31</f>
        <v>#VALUE!</v>
      </c>
      <c r="D18" s="296" t="s">
        <v>817</v>
      </c>
      <c r="E18" s="299" t="s">
        <v>793</v>
      </c>
    </row>
  </sheetData>
  <mergeCells count="4">
    <mergeCell ref="B17:E17"/>
    <mergeCell ref="B10:E10"/>
    <mergeCell ref="B1:E1"/>
    <mergeCell ref="B5:E5"/>
  </mergeCells>
  <phoneticPr fontId="7" type="noConversion"/>
  <pageMargins left="0.7" right="0.7" top="0.75" bottom="0.75" header="0.3" footer="0.3"/>
  <pageSetup paperSize="9" fitToWidth="0" fitToHeight="3"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AI37"/>
  <sheetViews>
    <sheetView workbookViewId="0">
      <selection activeCell="C3" sqref="C3:C8"/>
    </sheetView>
  </sheetViews>
  <sheetFormatPr defaultRowHeight="12.5"/>
  <cols>
    <col min="1" max="1" width="21.81640625" customWidth="1"/>
    <col min="2" max="2" width="13.54296875" customWidth="1"/>
    <col min="3" max="3" width="11.54296875" customWidth="1"/>
    <col min="6" max="19" width="11.54296875" customWidth="1"/>
    <col min="20" max="20" width="11.453125" customWidth="1"/>
    <col min="21" max="21" width="11.54296875" customWidth="1"/>
    <col min="22" max="22" width="12.81640625" customWidth="1"/>
    <col min="24" max="24" width="10.453125" customWidth="1"/>
    <col min="25" max="26" width="10.1796875" customWidth="1"/>
    <col min="27" max="27" width="10.81640625" customWidth="1"/>
    <col min="29" max="30" width="12.1796875" customWidth="1"/>
    <col min="31" max="32" width="11.453125" customWidth="1"/>
    <col min="33" max="33" width="11.1796875" customWidth="1"/>
    <col min="35" max="35" width="10.1796875" bestFit="1" customWidth="1"/>
  </cols>
  <sheetData>
    <row r="2" spans="1:35" ht="39">
      <c r="A2" s="170" t="s">
        <v>460</v>
      </c>
      <c r="B2" s="170" t="s">
        <v>461</v>
      </c>
      <c r="C2" s="170" t="s">
        <v>633</v>
      </c>
      <c r="D2" s="170" t="s">
        <v>630</v>
      </c>
      <c r="E2" s="226" t="s">
        <v>629</v>
      </c>
      <c r="F2" s="169" t="s">
        <v>631</v>
      </c>
      <c r="G2" s="169" t="s">
        <v>632</v>
      </c>
      <c r="H2" s="226" t="s">
        <v>635</v>
      </c>
      <c r="I2" s="226" t="s">
        <v>636</v>
      </c>
      <c r="J2" s="234" t="s">
        <v>648</v>
      </c>
      <c r="K2" s="234" t="s">
        <v>649</v>
      </c>
      <c r="L2" s="234" t="s">
        <v>654</v>
      </c>
      <c r="M2" s="234" t="s">
        <v>650</v>
      </c>
      <c r="N2" s="234" t="s">
        <v>651</v>
      </c>
      <c r="O2" s="234" t="s">
        <v>652</v>
      </c>
      <c r="P2" s="234" t="s">
        <v>653</v>
      </c>
      <c r="Q2" s="169" t="s">
        <v>486</v>
      </c>
      <c r="R2" s="169" t="s">
        <v>487</v>
      </c>
      <c r="S2" s="169" t="s">
        <v>473</v>
      </c>
      <c r="T2" s="169" t="s">
        <v>465</v>
      </c>
      <c r="U2" s="169" t="s">
        <v>466</v>
      </c>
      <c r="V2" s="175" t="s">
        <v>467</v>
      </c>
      <c r="W2" s="175" t="s">
        <v>469</v>
      </c>
      <c r="X2" s="175" t="s">
        <v>471</v>
      </c>
      <c r="Y2" s="169" t="s">
        <v>494</v>
      </c>
      <c r="Z2" s="242" t="s">
        <v>460</v>
      </c>
      <c r="AA2" s="169" t="s">
        <v>496</v>
      </c>
      <c r="AB2" s="169" t="s">
        <v>476</v>
      </c>
      <c r="AC2" s="169" t="s">
        <v>490</v>
      </c>
      <c r="AD2" s="241" t="s">
        <v>656</v>
      </c>
      <c r="AE2" s="169" t="s">
        <v>498</v>
      </c>
      <c r="AF2" s="241" t="s">
        <v>655</v>
      </c>
      <c r="AG2" s="169" t="s">
        <v>499</v>
      </c>
    </row>
    <row r="3" spans="1:35" ht="13">
      <c r="A3" s="170" t="s">
        <v>464</v>
      </c>
      <c r="B3" s="171">
        <v>275</v>
      </c>
      <c r="C3" s="171">
        <f>银行网点统计!G4+银行网点统计!I4</f>
        <v>248457.53</v>
      </c>
      <c r="D3" s="171">
        <v>5534</v>
      </c>
      <c r="E3" s="176">
        <f>D3/B3</f>
        <v>20.123636363636365</v>
      </c>
      <c r="F3" s="229">
        <f>C3/D3</f>
        <v>44.896554029634984</v>
      </c>
      <c r="G3" s="171">
        <v>22.78</v>
      </c>
      <c r="H3" s="229">
        <f>AB3/D3*10000</f>
        <v>181.44199494036863</v>
      </c>
      <c r="I3" s="229">
        <f>AG3/D3</f>
        <v>58.758258041199859</v>
      </c>
      <c r="J3" s="235">
        <f>AB3/B3*10000</f>
        <v>3651.272727272727</v>
      </c>
      <c r="K3" s="235">
        <f>AG3/B3</f>
        <v>1182.4298181818183</v>
      </c>
      <c r="L3" s="235">
        <f>P3/B3</f>
        <v>490.35199999999998</v>
      </c>
      <c r="M3" s="235">
        <f>O3-L3/10000</f>
        <v>16.226746618181821</v>
      </c>
      <c r="N3" s="235">
        <f>R3/B3</f>
        <v>0.82359890909090905</v>
      </c>
      <c r="O3" s="235">
        <f>S3/B3</f>
        <v>16.275781818181819</v>
      </c>
      <c r="P3" s="235">
        <f>1348468/10</f>
        <v>134846.79999999999</v>
      </c>
      <c r="Q3" s="176">
        <f t="shared" ref="Q3:Q4" si="0">S3-R3</f>
        <v>4249.3503000000001</v>
      </c>
      <c r="R3" s="176">
        <v>226.4897</v>
      </c>
      <c r="S3" s="176">
        <v>4475.84</v>
      </c>
      <c r="T3" s="171">
        <v>14933</v>
      </c>
      <c r="U3" s="171">
        <v>46975</v>
      </c>
      <c r="V3" s="171">
        <v>5566</v>
      </c>
      <c r="W3" s="171">
        <v>7073</v>
      </c>
      <c r="X3" s="171"/>
      <c r="Y3" s="179">
        <v>322062</v>
      </c>
      <c r="Z3" s="242" t="s">
        <v>464</v>
      </c>
      <c r="AA3" s="179">
        <v>425471</v>
      </c>
      <c r="AB3" s="176">
        <v>100.41</v>
      </c>
      <c r="AC3" s="179">
        <v>23246</v>
      </c>
      <c r="AD3" s="247">
        <f>AC3/AB3/10000</f>
        <v>2.3151080569664376E-2</v>
      </c>
      <c r="AE3" s="179">
        <v>100302.8</v>
      </c>
      <c r="AF3" s="247">
        <f>AE3/AA3</f>
        <v>0.23574532694355196</v>
      </c>
      <c r="AG3" s="173">
        <f>AA3-AE3</f>
        <v>325168.2</v>
      </c>
      <c r="AH3">
        <f>G3*D3</f>
        <v>126064.52</v>
      </c>
      <c r="AI3" s="80">
        <f>AE3/AB3/10000</f>
        <v>9.989323772532617E-2</v>
      </c>
    </row>
    <row r="4" spans="1:35" ht="13">
      <c r="A4" s="170" t="s">
        <v>468</v>
      </c>
      <c r="B4" s="171">
        <v>213</v>
      </c>
      <c r="C4" s="228">
        <f>银行网点统计!G5+银行网点统计!I5</f>
        <v>649348</v>
      </c>
      <c r="D4" s="171">
        <v>10777</v>
      </c>
      <c r="E4" s="176">
        <f t="shared" ref="E4:E9" si="1">D4/B4</f>
        <v>50.5962441314554</v>
      </c>
      <c r="F4" s="229">
        <f t="shared" ref="F4:F8" si="2">C4/D4</f>
        <v>60.253131669295719</v>
      </c>
      <c r="G4" s="172">
        <v>51.24</v>
      </c>
      <c r="H4" s="229">
        <f t="shared" ref="H4:H8" si="3">AB4/D4*10000</f>
        <v>317.54421453094551</v>
      </c>
      <c r="I4" s="229">
        <f t="shared" ref="I4:I9" si="4">AG4/D4</f>
        <v>101.39825554421454</v>
      </c>
      <c r="J4" s="235">
        <f t="shared" ref="J4:J9" si="5">AB4/B4*10000</f>
        <v>16066.544600938967</v>
      </c>
      <c r="K4" s="235">
        <f t="shared" ref="K4:K9" si="6">AG4/B4</f>
        <v>5130.3708920187792</v>
      </c>
      <c r="L4" s="235">
        <f t="shared" ref="L4:L9" si="7">P4/B4</f>
        <v>3099.8605633802817</v>
      </c>
      <c r="M4" s="235">
        <f t="shared" ref="M4:M9" si="8">O4-L4/10000</f>
        <v>71.837995164319253</v>
      </c>
      <c r="N4" s="235">
        <f t="shared" ref="N4:N9" si="9">R4/B4</f>
        <v>4.1394633802816898</v>
      </c>
      <c r="O4" s="235">
        <f t="shared" ref="O4:O9" si="10">S4/B4</f>
        <v>72.147981220657286</v>
      </c>
      <c r="P4" s="235">
        <f>6602703/10</f>
        <v>660270.30000000005</v>
      </c>
      <c r="Q4" s="176">
        <f t="shared" si="0"/>
        <v>14485.8143</v>
      </c>
      <c r="R4" s="176">
        <v>881.70569999999998</v>
      </c>
      <c r="S4" s="176">
        <v>15367.52</v>
      </c>
      <c r="T4" s="171"/>
      <c r="U4" s="171"/>
      <c r="V4" s="171"/>
      <c r="W4" s="171"/>
      <c r="X4" s="171"/>
      <c r="Y4" s="179">
        <v>1081337</v>
      </c>
      <c r="Z4" s="242" t="s">
        <v>468</v>
      </c>
      <c r="AA4" s="179">
        <v>1364259</v>
      </c>
      <c r="AB4" s="176">
        <v>342.2174</v>
      </c>
      <c r="AC4" s="173">
        <v>22758.799999999999</v>
      </c>
      <c r="AD4" s="247">
        <f t="shared" ref="AD4:AD9" si="11">AC4/AB4/10000</f>
        <v>6.6503924113735895E-3</v>
      </c>
      <c r="AE4" s="179">
        <v>271490</v>
      </c>
      <c r="AF4" s="247">
        <f t="shared" ref="AF4:AF9" si="12">AE4/AA4</f>
        <v>0.19900180244367088</v>
      </c>
      <c r="AG4" s="173">
        <f t="shared" ref="AG4:AG8" si="13">AA4-AE4</f>
        <v>1092769</v>
      </c>
      <c r="AH4">
        <f t="shared" ref="AH4:AH8" si="14">G4*D4</f>
        <v>552213.48</v>
      </c>
      <c r="AI4" s="80">
        <f t="shared" ref="AI4:AI9" si="15">AE4/AB4/10000</f>
        <v>7.9332611375108344E-2</v>
      </c>
    </row>
    <row r="5" spans="1:35" ht="13">
      <c r="A5" s="170" t="s">
        <v>489</v>
      </c>
      <c r="B5" s="171">
        <v>155</v>
      </c>
      <c r="C5" s="228">
        <f>银行网点统计!G6+银行网点统计!I6</f>
        <v>299545.40000000002</v>
      </c>
      <c r="D5" s="171">
        <v>4277</v>
      </c>
      <c r="E5" s="176">
        <f t="shared" si="1"/>
        <v>27.593548387096774</v>
      </c>
      <c r="F5" s="229">
        <f t="shared" si="2"/>
        <v>70.036333878887078</v>
      </c>
      <c r="G5" s="172">
        <v>24.41</v>
      </c>
      <c r="H5" s="229">
        <f t="shared" si="3"/>
        <v>175.24199205050266</v>
      </c>
      <c r="I5" s="229">
        <f t="shared" si="4"/>
        <v>57.5417348608838</v>
      </c>
      <c r="J5" s="235">
        <f t="shared" si="5"/>
        <v>4835.5483870967737</v>
      </c>
      <c r="K5" s="235">
        <f t="shared" si="6"/>
        <v>1587.7806451612903</v>
      </c>
      <c r="L5" s="235">
        <f t="shared" si="7"/>
        <v>993.10322580645163</v>
      </c>
      <c r="M5" s="235">
        <f t="shared" si="8"/>
        <v>20.190938709677418</v>
      </c>
      <c r="N5" s="235">
        <f t="shared" si="9"/>
        <v>1.3371264516129033</v>
      </c>
      <c r="O5" s="235">
        <f t="shared" si="10"/>
        <v>20.290249032258064</v>
      </c>
      <c r="P5" s="235">
        <v>153931</v>
      </c>
      <c r="Q5" s="176">
        <f>S5-R5</f>
        <v>2937.7339999999999</v>
      </c>
      <c r="R5" s="176">
        <v>207.25460000000001</v>
      </c>
      <c r="S5" s="176">
        <v>3144.9886000000001</v>
      </c>
      <c r="T5" s="186">
        <v>50758</v>
      </c>
      <c r="U5" s="171"/>
      <c r="V5" s="186">
        <v>13428</v>
      </c>
      <c r="W5" s="171"/>
      <c r="X5" s="171"/>
      <c r="Y5" s="179">
        <v>242879</v>
      </c>
      <c r="Z5" s="242" t="s">
        <v>489</v>
      </c>
      <c r="AA5" s="179">
        <v>267734</v>
      </c>
      <c r="AB5" s="176">
        <v>74.950999999999993</v>
      </c>
      <c r="AC5" s="173">
        <v>6527</v>
      </c>
      <c r="AD5" s="247">
        <f t="shared" si="11"/>
        <v>8.7083561260023219E-3</v>
      </c>
      <c r="AE5" s="179">
        <v>21628</v>
      </c>
      <c r="AF5" s="247">
        <f t="shared" si="12"/>
        <v>8.0781671360380072E-2</v>
      </c>
      <c r="AG5" s="173">
        <f t="shared" si="13"/>
        <v>246106</v>
      </c>
      <c r="AH5">
        <f t="shared" si="14"/>
        <v>104401.57</v>
      </c>
      <c r="AI5" s="80">
        <f t="shared" si="15"/>
        <v>2.8856186041547147E-2</v>
      </c>
    </row>
    <row r="6" spans="1:35" ht="13">
      <c r="A6" s="170" t="s">
        <v>470</v>
      </c>
      <c r="B6" s="171">
        <v>312</v>
      </c>
      <c r="C6" s="228">
        <f>银行网点统计!G7+银行网点统计!I7</f>
        <v>555934.4</v>
      </c>
      <c r="D6" s="171">
        <v>9952</v>
      </c>
      <c r="E6" s="176">
        <f t="shared" si="1"/>
        <v>31.897435897435898</v>
      </c>
      <c r="F6" s="229">
        <f t="shared" si="2"/>
        <v>55.86157556270097</v>
      </c>
      <c r="G6" s="172">
        <v>44.9</v>
      </c>
      <c r="H6" s="229">
        <f t="shared" si="3"/>
        <v>282.33078778135047</v>
      </c>
      <c r="I6" s="229">
        <f t="shared" si="4"/>
        <v>114.54702572347267</v>
      </c>
      <c r="J6" s="235">
        <f t="shared" si="5"/>
        <v>9005.6282051282051</v>
      </c>
      <c r="K6" s="235">
        <f t="shared" si="6"/>
        <v>3653.7564102564102</v>
      </c>
      <c r="L6" s="235">
        <f t="shared" si="7"/>
        <v>2375.8983974358976</v>
      </c>
      <c r="M6" s="235">
        <f t="shared" si="8"/>
        <v>43.517884839743587</v>
      </c>
      <c r="N6" s="235">
        <f t="shared" si="9"/>
        <v>2.7296535256410257</v>
      </c>
      <c r="O6" s="235">
        <f t="shared" si="10"/>
        <v>43.755474679487179</v>
      </c>
      <c r="P6" s="235">
        <f>7412803/10</f>
        <v>741280.3</v>
      </c>
      <c r="Q6" s="176">
        <f t="shared" ref="Q6:Q8" si="16">S6-R6</f>
        <v>12800.056199999999</v>
      </c>
      <c r="R6" s="176">
        <v>851.65189999999996</v>
      </c>
      <c r="S6" s="176">
        <v>13651.7081</v>
      </c>
      <c r="T6" s="6">
        <v>221239</v>
      </c>
      <c r="U6" s="171">
        <v>5896</v>
      </c>
      <c r="V6" s="171">
        <v>10402</v>
      </c>
      <c r="W6" s="171"/>
      <c r="X6" s="6">
        <v>69192</v>
      </c>
      <c r="Y6" s="179">
        <v>704000</v>
      </c>
      <c r="Z6" s="242" t="s">
        <v>470</v>
      </c>
      <c r="AA6" s="179">
        <v>1414431</v>
      </c>
      <c r="AB6" s="177">
        <v>280.97559999999999</v>
      </c>
      <c r="AC6" s="173">
        <v>168500</v>
      </c>
      <c r="AD6" s="247">
        <f t="shared" si="11"/>
        <v>5.996962013783403E-2</v>
      </c>
      <c r="AE6" s="179">
        <v>274459</v>
      </c>
      <c r="AF6" s="247">
        <f t="shared" si="12"/>
        <v>0.19404198578792461</v>
      </c>
      <c r="AG6" s="173">
        <f t="shared" si="13"/>
        <v>1139972</v>
      </c>
      <c r="AH6">
        <f t="shared" si="14"/>
        <v>446844.8</v>
      </c>
      <c r="AI6" s="80">
        <f t="shared" si="15"/>
        <v>9.7680723877802911E-2</v>
      </c>
    </row>
    <row r="7" spans="1:35" ht="13">
      <c r="A7" s="170" t="s">
        <v>472</v>
      </c>
      <c r="B7" s="171">
        <v>161</v>
      </c>
      <c r="C7" s="228">
        <f>银行网点统计!G8+银行网点统计!I8</f>
        <v>256837</v>
      </c>
      <c r="D7" s="171">
        <v>3739</v>
      </c>
      <c r="E7" s="176">
        <f t="shared" si="1"/>
        <v>23.22360248447205</v>
      </c>
      <c r="F7" s="229">
        <f t="shared" si="2"/>
        <v>68.69136132655791</v>
      </c>
      <c r="G7" s="171">
        <v>21.45</v>
      </c>
      <c r="H7" s="229">
        <f t="shared" si="3"/>
        <v>171.22225193902111</v>
      </c>
      <c r="I7" s="229">
        <f t="shared" si="4"/>
        <v>58.013907461888202</v>
      </c>
      <c r="J7" s="235">
        <f t="shared" si="5"/>
        <v>3976.39751552795</v>
      </c>
      <c r="K7" s="235">
        <f t="shared" si="6"/>
        <v>1347.2919254658384</v>
      </c>
      <c r="L7" s="235">
        <f t="shared" si="7"/>
        <v>472.55900621118013</v>
      </c>
      <c r="M7" s="235">
        <f t="shared" si="8"/>
        <v>17.53572546583851</v>
      </c>
      <c r="N7" s="235">
        <f t="shared" si="9"/>
        <v>1.3291664596273292</v>
      </c>
      <c r="O7" s="235">
        <f t="shared" si="10"/>
        <v>17.582981366459627</v>
      </c>
      <c r="P7" s="235">
        <v>76082</v>
      </c>
      <c r="Q7" s="176">
        <f t="shared" si="16"/>
        <v>2616.8642</v>
      </c>
      <c r="R7" s="176">
        <v>213.9958</v>
      </c>
      <c r="S7" s="176">
        <v>2830.86</v>
      </c>
      <c r="T7" s="171"/>
      <c r="U7" s="171"/>
      <c r="V7" s="171"/>
      <c r="W7" s="171"/>
      <c r="X7" s="171"/>
      <c r="Y7" s="179">
        <v>200343</v>
      </c>
      <c r="Z7" s="242" t="s">
        <v>472</v>
      </c>
      <c r="AA7" s="179">
        <v>255949</v>
      </c>
      <c r="AB7" s="176">
        <v>64.02</v>
      </c>
      <c r="AC7" s="173">
        <v>6170</v>
      </c>
      <c r="AD7" s="247">
        <f t="shared" si="11"/>
        <v>9.6376132458606684E-3</v>
      </c>
      <c r="AE7" s="179">
        <v>39035</v>
      </c>
      <c r="AF7" s="247">
        <f t="shared" si="12"/>
        <v>0.15251085177125132</v>
      </c>
      <c r="AG7" s="173">
        <f t="shared" si="13"/>
        <v>216914</v>
      </c>
      <c r="AH7">
        <f t="shared" si="14"/>
        <v>80201.55</v>
      </c>
      <c r="AI7" s="80">
        <f t="shared" si="15"/>
        <v>6.0973133395813804E-2</v>
      </c>
    </row>
    <row r="8" spans="1:35" ht="13">
      <c r="A8" s="170" t="s">
        <v>474</v>
      </c>
      <c r="B8" s="171">
        <v>512</v>
      </c>
      <c r="C8" s="228">
        <f>银行网点统计!G9+银行网点统计!I9</f>
        <v>973731.64</v>
      </c>
      <c r="D8" s="171">
        <v>13812</v>
      </c>
      <c r="E8" s="176">
        <f>D8/B8</f>
        <v>26.9765625</v>
      </c>
      <c r="F8" s="229">
        <f t="shared" si="2"/>
        <v>70.498960324355636</v>
      </c>
      <c r="G8" s="246">
        <v>23.718816970750073</v>
      </c>
      <c r="H8" s="229">
        <f t="shared" si="3"/>
        <v>183.35505357660006</v>
      </c>
      <c r="I8" s="229">
        <f t="shared" si="4"/>
        <v>62.982334202143065</v>
      </c>
      <c r="J8" s="235">
        <f t="shared" si="5"/>
        <v>4946.2890625</v>
      </c>
      <c r="K8" s="235">
        <f t="shared" si="6"/>
        <v>1699.046875</v>
      </c>
      <c r="L8" s="235">
        <f t="shared" si="7"/>
        <v>1119.0810546875</v>
      </c>
      <c r="M8" s="235">
        <f t="shared" si="8"/>
        <v>20.167565527343751</v>
      </c>
      <c r="N8" s="235">
        <f t="shared" si="9"/>
        <v>1.0921630859375</v>
      </c>
      <c r="O8" s="235">
        <f t="shared" si="10"/>
        <v>20.2794736328125</v>
      </c>
      <c r="P8" s="235">
        <f>5729695/10</f>
        <v>572969.5</v>
      </c>
      <c r="Q8" s="176">
        <f t="shared" si="16"/>
        <v>9823.9030000000002</v>
      </c>
      <c r="R8" s="176">
        <v>559.1875</v>
      </c>
      <c r="S8" s="176">
        <v>10383.0905</v>
      </c>
      <c r="T8" s="171"/>
      <c r="U8" s="6">
        <v>63929</v>
      </c>
      <c r="V8" s="171">
        <v>15228</v>
      </c>
      <c r="W8" s="171">
        <v>52597</v>
      </c>
      <c r="X8" s="171">
        <v>18641</v>
      </c>
      <c r="Y8" s="179">
        <v>748842</v>
      </c>
      <c r="Z8" s="242" t="s">
        <v>474</v>
      </c>
      <c r="AA8" s="180">
        <v>1141463</v>
      </c>
      <c r="AB8" s="176">
        <v>253.25</v>
      </c>
      <c r="AC8" s="173">
        <v>178715.9</v>
      </c>
      <c r="AD8" s="247">
        <f t="shared" si="11"/>
        <v>7.0568963474827245E-2</v>
      </c>
      <c r="AE8" s="179">
        <v>271551</v>
      </c>
      <c r="AF8" s="247">
        <f t="shared" si="12"/>
        <v>0.23789733000544039</v>
      </c>
      <c r="AG8" s="173">
        <f t="shared" si="13"/>
        <v>869912</v>
      </c>
      <c r="AH8">
        <f t="shared" si="14"/>
        <v>327604.3</v>
      </c>
      <c r="AI8" s="80">
        <f t="shared" si="15"/>
        <v>0.10722645607107602</v>
      </c>
    </row>
    <row r="9" spans="1:35" ht="13">
      <c r="A9" s="227" t="s">
        <v>634</v>
      </c>
      <c r="B9" s="228">
        <f>SUM(B3:B8)</f>
        <v>1628</v>
      </c>
      <c r="C9" s="228">
        <f>SUM(C3:C8)</f>
        <v>2983853.97</v>
      </c>
      <c r="D9" s="228">
        <f>SUM(D3:D8)</f>
        <v>48091</v>
      </c>
      <c r="E9" s="176">
        <f t="shared" si="1"/>
        <v>29.539926289926289</v>
      </c>
      <c r="F9" s="229">
        <f>C9/D9</f>
        <v>62.045995508515112</v>
      </c>
      <c r="G9" s="229">
        <f>AH9/D9</f>
        <v>34.04649976087002</v>
      </c>
      <c r="H9" s="229">
        <f>AB9/D9*10000</f>
        <v>232.0234555322202</v>
      </c>
      <c r="I9" s="229">
        <f t="shared" si="4"/>
        <v>80.905807739493881</v>
      </c>
      <c r="J9" s="235">
        <f t="shared" si="5"/>
        <v>6853.955773955774</v>
      </c>
      <c r="K9" s="235">
        <f t="shared" si="6"/>
        <v>2389.9515970515972</v>
      </c>
      <c r="L9" s="235">
        <f t="shared" si="7"/>
        <v>1436.9655405405408</v>
      </c>
      <c r="M9" s="235">
        <f t="shared" si="8"/>
        <v>30.479157991400491</v>
      </c>
      <c r="N9" s="235">
        <f t="shared" si="9"/>
        <v>1.8060719901719904</v>
      </c>
      <c r="O9" s="235">
        <f t="shared" si="10"/>
        <v>30.622854545454544</v>
      </c>
      <c r="P9" s="235">
        <f t="shared" ref="P9:Y9" si="17">SUM(P3:P8)</f>
        <v>2339379.9000000004</v>
      </c>
      <c r="Q9" s="229">
        <f t="shared" si="17"/>
        <v>46913.722000000002</v>
      </c>
      <c r="R9" s="229">
        <f t="shared" si="17"/>
        <v>2940.2852000000003</v>
      </c>
      <c r="S9" s="229">
        <f t="shared" si="17"/>
        <v>49854.0072</v>
      </c>
      <c r="T9" s="229">
        <f t="shared" si="17"/>
        <v>286930</v>
      </c>
      <c r="U9" s="229">
        <f t="shared" si="17"/>
        <v>116800</v>
      </c>
      <c r="V9" s="229">
        <f t="shared" si="17"/>
        <v>44624</v>
      </c>
      <c r="W9" s="229">
        <f t="shared" si="17"/>
        <v>59670</v>
      </c>
      <c r="X9" s="229">
        <f t="shared" si="17"/>
        <v>87833</v>
      </c>
      <c r="Y9" s="229">
        <f t="shared" si="17"/>
        <v>3299463</v>
      </c>
      <c r="Z9" s="242" t="s">
        <v>634</v>
      </c>
      <c r="AA9" s="229">
        <f>SUM(AA3:AA8)</f>
        <v>4869307</v>
      </c>
      <c r="AB9" s="229">
        <f>SUM(AB3:AB8)</f>
        <v>1115.8240000000001</v>
      </c>
      <c r="AC9" s="229">
        <f>SUM(AC3:AC8)</f>
        <v>405917.69999999995</v>
      </c>
      <c r="AD9" s="247">
        <f t="shared" si="11"/>
        <v>3.6378290841566407E-2</v>
      </c>
      <c r="AE9" s="229">
        <f>SUM(AE3:AE8)</f>
        <v>978465.8</v>
      </c>
      <c r="AF9" s="247">
        <f t="shared" si="12"/>
        <v>0.20094559657051816</v>
      </c>
      <c r="AG9" s="229">
        <f>SUM(AG3:AG8)</f>
        <v>3890841.2</v>
      </c>
      <c r="AH9">
        <f>SUM(AH3:AH8)</f>
        <v>1637330.2200000002</v>
      </c>
      <c r="AI9" s="80">
        <f t="shared" si="15"/>
        <v>8.7689976196962963E-2</v>
      </c>
    </row>
    <row r="10" spans="1:35" ht="13">
      <c r="A10" s="254"/>
    </row>
    <row r="11" spans="1:35">
      <c r="C11" s="93"/>
    </row>
    <row r="12" spans="1:35">
      <c r="C12" s="93"/>
      <c r="AE12" s="248">
        <f>AE9+AC9</f>
        <v>1384383.5</v>
      </c>
      <c r="AF12" s="247">
        <f>AE12/AB9/10000</f>
        <v>0.12406826703852937</v>
      </c>
      <c r="AH12">
        <f>AG9/AB9/10000</f>
        <v>0.34869667617832201</v>
      </c>
    </row>
    <row r="13" spans="1:35">
      <c r="C13" s="93"/>
    </row>
    <row r="14" spans="1:35">
      <c r="C14" s="93"/>
    </row>
    <row r="15" spans="1:35">
      <c r="C15" s="93"/>
    </row>
    <row r="16" spans="1:35">
      <c r="C16" s="93"/>
    </row>
    <row r="17" spans="3:12">
      <c r="C17" s="93"/>
    </row>
    <row r="22" spans="3:12" ht="13">
      <c r="D22" s="268"/>
      <c r="E22" s="268"/>
      <c r="F22" s="267" t="s">
        <v>698</v>
      </c>
      <c r="G22" s="267" t="s">
        <v>697</v>
      </c>
      <c r="H22" s="267" t="s">
        <v>699</v>
      </c>
      <c r="I22" s="267" t="s">
        <v>207</v>
      </c>
    </row>
    <row r="23" spans="3:12" ht="13">
      <c r="D23" s="267" t="s">
        <v>694</v>
      </c>
      <c r="E23" s="268"/>
      <c r="F23" s="268">
        <v>54.31</v>
      </c>
      <c r="G23" s="268">
        <v>159.78</v>
      </c>
      <c r="H23" s="268">
        <v>134.44999999999999</v>
      </c>
      <c r="I23" s="269">
        <f>I34/I28</f>
        <v>108.81499999999998</v>
      </c>
      <c r="J23" s="93">
        <f>I23/$I$26</f>
        <v>5.8137102133711025</v>
      </c>
      <c r="K23" s="264">
        <f t="shared" ref="K23:K24" si="18">J23*$K$26</f>
        <v>209.29356768135969</v>
      </c>
      <c r="L23" s="264">
        <f t="shared" ref="L23:L24" si="19">J23*$L$26</f>
        <v>168.59759618776198</v>
      </c>
    </row>
    <row r="24" spans="3:12" ht="13">
      <c r="D24" s="267" t="s">
        <v>695</v>
      </c>
      <c r="E24" s="268"/>
      <c r="F24" s="268">
        <v>21.3</v>
      </c>
      <c r="G24" s="268">
        <v>77.08</v>
      </c>
      <c r="H24" s="268">
        <v>82.46</v>
      </c>
      <c r="I24" s="269">
        <f t="shared" ref="I24:I25" si="20">I35/I29</f>
        <v>41.97813884785819</v>
      </c>
      <c r="J24" s="93">
        <f t="shared" ref="J24:J26" si="21">I24/$I$26</f>
        <v>2.2427857791490458</v>
      </c>
      <c r="K24" s="264">
        <f t="shared" si="18"/>
        <v>80.740288049365645</v>
      </c>
      <c r="L24" s="264">
        <f t="shared" si="19"/>
        <v>65.040787595322328</v>
      </c>
    </row>
    <row r="25" spans="3:12" ht="13">
      <c r="D25" s="267" t="s">
        <v>696</v>
      </c>
      <c r="E25" s="268"/>
      <c r="F25" s="268">
        <v>8.23</v>
      </c>
      <c r="G25" s="268">
        <v>21.6</v>
      </c>
      <c r="H25" s="268">
        <v>21.47</v>
      </c>
      <c r="I25" s="269">
        <f t="shared" si="20"/>
        <v>17.312660416056257</v>
      </c>
      <c r="J25" s="93">
        <f t="shared" si="21"/>
        <v>0.92497165539173709</v>
      </c>
      <c r="K25" s="264">
        <f>J25*$K$26</f>
        <v>33.298979594102533</v>
      </c>
      <c r="L25" s="264">
        <f>J25*$L$26</f>
        <v>26.824178006360377</v>
      </c>
    </row>
    <row r="26" spans="3:12">
      <c r="D26" s="268"/>
      <c r="E26" s="268"/>
      <c r="F26" s="269">
        <f>F37</f>
        <v>9.5654240837696332</v>
      </c>
      <c r="G26" s="269">
        <f t="shared" ref="G26:H26" si="22">G37</f>
        <v>23.943553474618039</v>
      </c>
      <c r="H26" s="269">
        <f t="shared" si="22"/>
        <v>22.780767979761471</v>
      </c>
      <c r="I26" s="269">
        <f>I37</f>
        <v>18.716963179508596</v>
      </c>
      <c r="J26" s="93">
        <f t="shared" si="21"/>
        <v>1</v>
      </c>
      <c r="K26">
        <v>36</v>
      </c>
      <c r="L26">
        <v>29</v>
      </c>
    </row>
    <row r="28" spans="3:12">
      <c r="F28">
        <v>15</v>
      </c>
      <c r="G28">
        <v>9</v>
      </c>
      <c r="H28">
        <v>14</v>
      </c>
      <c r="I28">
        <f>SUM(F28:H28)</f>
        <v>38</v>
      </c>
      <c r="J28" s="263">
        <f>I28/$I$31</f>
        <v>2.6449502331732442E-3</v>
      </c>
    </row>
    <row r="29" spans="3:12">
      <c r="F29">
        <v>435</v>
      </c>
      <c r="G29">
        <v>149</v>
      </c>
      <c r="H29">
        <v>93</v>
      </c>
      <c r="I29">
        <f t="shared" ref="I29:I31" si="23">SUM(F29:H29)</f>
        <v>677</v>
      </c>
      <c r="J29" s="263">
        <f t="shared" ref="J29:J31" si="24">I29/$I$31</f>
        <v>4.7121876522586481E-2</v>
      </c>
    </row>
    <row r="30" spans="3:12">
      <c r="F30">
        <v>4325</v>
      </c>
      <c r="G30">
        <v>3900</v>
      </c>
      <c r="H30">
        <v>5427</v>
      </c>
      <c r="I30">
        <f t="shared" si="23"/>
        <v>13652</v>
      </c>
      <c r="J30" s="263">
        <f t="shared" si="24"/>
        <v>0.95023317324424028</v>
      </c>
    </row>
    <row r="31" spans="3:12">
      <c r="F31">
        <f>SUM(F28:F30)</f>
        <v>4775</v>
      </c>
      <c r="G31">
        <f t="shared" ref="G31:H31" si="25">SUM(G28:G30)</f>
        <v>4058</v>
      </c>
      <c r="H31">
        <f t="shared" si="25"/>
        <v>5534</v>
      </c>
      <c r="I31">
        <f t="shared" si="23"/>
        <v>14367</v>
      </c>
      <c r="J31" s="263">
        <f t="shared" si="24"/>
        <v>1</v>
      </c>
    </row>
    <row r="34" spans="6:9">
      <c r="F34">
        <f>F23*F28</f>
        <v>814.65000000000009</v>
      </c>
      <c r="G34">
        <f t="shared" ref="G34:H34" si="26">G23*G28</f>
        <v>1438.02</v>
      </c>
      <c r="H34">
        <f t="shared" si="26"/>
        <v>1882.2999999999997</v>
      </c>
      <c r="I34">
        <f>SUM(F34:H34)</f>
        <v>4134.9699999999993</v>
      </c>
    </row>
    <row r="35" spans="6:9">
      <c r="F35">
        <f t="shared" ref="F35:H35" si="27">F24*F29</f>
        <v>9265.5</v>
      </c>
      <c r="G35">
        <f t="shared" si="27"/>
        <v>11484.92</v>
      </c>
      <c r="H35">
        <f t="shared" si="27"/>
        <v>7668.78</v>
      </c>
      <c r="I35">
        <f t="shared" ref="I35:I36" si="28">SUM(F35:H35)</f>
        <v>28419.199999999997</v>
      </c>
    </row>
    <row r="36" spans="6:9">
      <c r="F36">
        <f t="shared" ref="F36:H36" si="29">F25*F30</f>
        <v>35594.75</v>
      </c>
      <c r="G36">
        <f t="shared" si="29"/>
        <v>84240</v>
      </c>
      <c r="H36">
        <f t="shared" si="29"/>
        <v>116517.68999999999</v>
      </c>
      <c r="I36">
        <f t="shared" si="28"/>
        <v>236352.44</v>
      </c>
    </row>
    <row r="37" spans="6:9">
      <c r="F37">
        <f>SUM(F34:F36)/F31</f>
        <v>9.5654240837696332</v>
      </c>
      <c r="G37">
        <f t="shared" ref="G37:H37" si="30">SUM(G34:G36)/G31</f>
        <v>23.943553474618039</v>
      </c>
      <c r="H37">
        <f t="shared" si="30"/>
        <v>22.780767979761471</v>
      </c>
      <c r="I37">
        <f>SUM(I34:I36)/I31</f>
        <v>18.716963179508596</v>
      </c>
    </row>
  </sheetData>
  <phoneticPr fontId="7"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6D781A-AB63-487B-ACFD-4FE5A18CF547}">
  <dimension ref="A1:AA54"/>
  <sheetViews>
    <sheetView workbookViewId="0">
      <selection activeCell="H15" sqref="H15"/>
    </sheetView>
  </sheetViews>
  <sheetFormatPr defaultRowHeight="12.5"/>
  <cols>
    <col min="1" max="1" width="20.81640625" customWidth="1"/>
    <col min="2" max="2" width="13.453125" customWidth="1"/>
    <col min="3" max="4" width="15.453125" customWidth="1"/>
    <col min="5" max="5" width="12.81640625" customWidth="1"/>
    <col min="6" max="8" width="15.54296875" customWidth="1"/>
    <col min="9" max="9" width="14.1796875" customWidth="1"/>
    <col min="10" max="10" width="12.54296875" customWidth="1"/>
    <col min="11" max="11" width="14.453125" customWidth="1"/>
    <col min="12" max="13" width="15.1796875" customWidth="1"/>
    <col min="14" max="14" width="11.453125" customWidth="1"/>
    <col min="15" max="15" width="12.81640625" customWidth="1"/>
    <col min="16" max="17" width="13.1796875" customWidth="1"/>
    <col min="18" max="18" width="12.81640625" customWidth="1"/>
    <col min="19" max="19" width="14.1796875" customWidth="1"/>
    <col min="20" max="20" width="12.54296875" customWidth="1"/>
    <col min="21" max="21" width="12.453125" customWidth="1"/>
  </cols>
  <sheetData>
    <row r="1" spans="1:27" ht="24.75" customHeight="1">
      <c r="A1" s="244" t="s">
        <v>460</v>
      </c>
      <c r="B1" s="243" t="s">
        <v>360</v>
      </c>
      <c r="C1" s="302" t="s">
        <v>633</v>
      </c>
      <c r="D1" s="243" t="s">
        <v>661</v>
      </c>
      <c r="E1" s="249" t="s">
        <v>674</v>
      </c>
      <c r="F1" s="244" t="s">
        <v>630</v>
      </c>
      <c r="G1" s="302" t="s">
        <v>823</v>
      </c>
      <c r="H1" s="302" t="s">
        <v>824</v>
      </c>
      <c r="I1" s="243" t="s">
        <v>657</v>
      </c>
      <c r="J1" s="249" t="s">
        <v>672</v>
      </c>
      <c r="K1" s="249" t="s">
        <v>673</v>
      </c>
      <c r="L1" s="243" t="s">
        <v>666</v>
      </c>
      <c r="M1" s="243" t="s">
        <v>669</v>
      </c>
      <c r="N1" s="243" t="s">
        <v>662</v>
      </c>
      <c r="O1" s="243" t="s">
        <v>668</v>
      </c>
      <c r="P1" s="243" t="s">
        <v>663</v>
      </c>
      <c r="Q1" s="243" t="s">
        <v>664</v>
      </c>
      <c r="R1" s="243" t="s">
        <v>665</v>
      </c>
      <c r="S1" s="243" t="s">
        <v>667</v>
      </c>
      <c r="T1" s="243" t="s">
        <v>491</v>
      </c>
      <c r="U1" s="243" t="s">
        <v>492</v>
      </c>
      <c r="V1" s="243" t="s">
        <v>675</v>
      </c>
      <c r="W1" s="243"/>
      <c r="X1" s="243"/>
      <c r="Y1" s="243"/>
      <c r="Z1" s="243"/>
      <c r="AA1" s="243"/>
    </row>
    <row r="2" spans="1:27" ht="13">
      <c r="A2" s="244" t="s">
        <v>464</v>
      </c>
      <c r="B2" s="245">
        <v>180.22</v>
      </c>
      <c r="C2" s="303">
        <v>248457.53</v>
      </c>
      <c r="D2" s="245">
        <v>67.94</v>
      </c>
      <c r="E2" s="251">
        <v>53.38</v>
      </c>
      <c r="F2" s="245">
        <v>7618</v>
      </c>
      <c r="G2" s="308">
        <f>B2/C2*10000</f>
        <v>7.2535535550079722</v>
      </c>
      <c r="H2" s="308">
        <f>C2/F2</f>
        <v>32.614535311105278</v>
      </c>
      <c r="I2" s="252">
        <f>290774.5/F2</f>
        <v>38.169401417694935</v>
      </c>
      <c r="J2" s="252">
        <f t="shared" ref="J2:J8" si="0">B2/F2*10000</f>
        <v>236.57127855080074</v>
      </c>
      <c r="K2" s="252">
        <f t="shared" ref="K2:K8" si="1">E2/F2*10000</f>
        <v>70.070884746652666</v>
      </c>
      <c r="L2" s="251">
        <v>48505</v>
      </c>
      <c r="M2" s="258">
        <v>2.6783999999999999</v>
      </c>
      <c r="N2" s="141">
        <v>12.042</v>
      </c>
      <c r="O2" s="258">
        <v>1.5810999999999999</v>
      </c>
      <c r="P2" s="6"/>
      <c r="Q2" s="1"/>
      <c r="R2" s="1"/>
      <c r="S2" s="199">
        <f t="shared" ref="S2:S8" si="2">M2/B2</f>
        <v>1.4861835534346909E-2</v>
      </c>
      <c r="T2" s="257">
        <f t="shared" ref="T2:T8" si="3">O2/B2</f>
        <v>8.7731661302852069E-3</v>
      </c>
      <c r="U2" s="257">
        <f t="shared" ref="U2:U8" si="4">N2/D2</f>
        <v>0.17724462761259935</v>
      </c>
      <c r="V2" s="257">
        <f t="shared" ref="V2:V8" si="5">D2/B2</f>
        <v>0.37698368660526022</v>
      </c>
      <c r="W2" s="276">
        <f t="shared" ref="W2:W8" si="6">N2/B2</f>
        <v>6.6818333148374209E-2</v>
      </c>
      <c r="X2" s="1"/>
      <c r="Y2" s="1"/>
      <c r="Z2" s="1"/>
      <c r="AA2" s="1"/>
    </row>
    <row r="3" spans="1:27" ht="13">
      <c r="A3" s="244" t="s">
        <v>468</v>
      </c>
      <c r="B3" s="245">
        <v>477.03</v>
      </c>
      <c r="C3" s="303">
        <v>649348</v>
      </c>
      <c r="D3" s="245">
        <v>143.63</v>
      </c>
      <c r="E3" s="251">
        <v>123.09</v>
      </c>
      <c r="F3" s="245">
        <v>15997</v>
      </c>
      <c r="G3" s="308">
        <f t="shared" ref="G3:G7" si="7">B3/C3*10000</f>
        <v>7.3462919728712492</v>
      </c>
      <c r="H3" s="308">
        <f t="shared" ref="H3:H8" si="8">C3/F3</f>
        <v>40.591860973932612</v>
      </c>
      <c r="I3" s="246">
        <f>819700/F3</f>
        <v>51.2408576608114</v>
      </c>
      <c r="J3" s="252">
        <f t="shared" si="0"/>
        <v>298.19966243670689</v>
      </c>
      <c r="K3" s="252">
        <f t="shared" si="1"/>
        <v>76.945677314496464</v>
      </c>
      <c r="L3" s="251">
        <v>82800</v>
      </c>
      <c r="M3" s="141">
        <v>3.32</v>
      </c>
      <c r="N3" s="258">
        <v>18.04</v>
      </c>
      <c r="O3" s="141">
        <v>6.2</v>
      </c>
      <c r="P3" s="1"/>
      <c r="Q3" s="1"/>
      <c r="R3" s="1"/>
      <c r="S3" s="199">
        <f t="shared" si="2"/>
        <v>6.9597299960170219E-3</v>
      </c>
      <c r="T3" s="257">
        <f t="shared" si="3"/>
        <v>1.2997086137140222E-2</v>
      </c>
      <c r="U3" s="257">
        <f t="shared" si="4"/>
        <v>0.12560050128803174</v>
      </c>
      <c r="V3" s="257">
        <f t="shared" si="5"/>
        <v>0.30109217449636294</v>
      </c>
      <c r="W3" s="276">
        <f t="shared" si="6"/>
        <v>3.7817328050646713E-2</v>
      </c>
      <c r="X3" s="1"/>
      <c r="Y3" s="1"/>
      <c r="Z3" s="1"/>
      <c r="AA3" s="1"/>
    </row>
    <row r="4" spans="1:27" ht="13">
      <c r="A4" s="244" t="s">
        <v>489</v>
      </c>
      <c r="B4" s="245">
        <v>91.57</v>
      </c>
      <c r="C4" s="303">
        <v>299545.40000000002</v>
      </c>
      <c r="D4" s="245">
        <v>25.68</v>
      </c>
      <c r="E4" s="251">
        <v>28.76</v>
      </c>
      <c r="F4" s="245">
        <v>5015</v>
      </c>
      <c r="G4" s="308">
        <f t="shared" si="7"/>
        <v>3.0569656552896487</v>
      </c>
      <c r="H4" s="308">
        <f t="shared" si="8"/>
        <v>59.729890329012967</v>
      </c>
      <c r="I4" s="246">
        <f>1460317352.03/10000/F4</f>
        <v>29.118990070388833</v>
      </c>
      <c r="J4" s="252">
        <f t="shared" si="0"/>
        <v>182.59222333000997</v>
      </c>
      <c r="K4" s="252">
        <f t="shared" si="1"/>
        <v>57.347956131605187</v>
      </c>
      <c r="L4" s="251">
        <v>29320</v>
      </c>
      <c r="M4" s="141">
        <v>1.3041400000000001</v>
      </c>
      <c r="N4" s="258">
        <v>3.2104699999999999</v>
      </c>
      <c r="O4" s="258">
        <v>0.98362000000000005</v>
      </c>
      <c r="P4" s="1"/>
      <c r="Q4" s="1"/>
      <c r="R4" s="1"/>
      <c r="S4" s="199">
        <f t="shared" si="2"/>
        <v>1.4242000655236432E-2</v>
      </c>
      <c r="T4" s="257">
        <f t="shared" si="3"/>
        <v>1.0741727640056788E-2</v>
      </c>
      <c r="U4" s="257">
        <f t="shared" si="4"/>
        <v>0.12501830218068535</v>
      </c>
      <c r="V4" s="257">
        <f t="shared" si="5"/>
        <v>0.28044119253030469</v>
      </c>
      <c r="W4" s="276">
        <f t="shared" si="6"/>
        <v>3.5060281751665395E-2</v>
      </c>
      <c r="X4" s="1"/>
      <c r="Y4" s="1"/>
      <c r="Z4" s="1"/>
      <c r="AA4" s="1"/>
    </row>
    <row r="5" spans="1:27" ht="13">
      <c r="A5" s="244" t="s">
        <v>470</v>
      </c>
      <c r="B5" s="245">
        <v>507.46</v>
      </c>
      <c r="C5" s="303">
        <v>555934.4</v>
      </c>
      <c r="D5" s="245">
        <v>223.21</v>
      </c>
      <c r="E5" s="251">
        <v>208.85</v>
      </c>
      <c r="F5" s="245">
        <v>13365</v>
      </c>
      <c r="G5" s="308">
        <f t="shared" si="7"/>
        <v>9.1280553964640418</v>
      </c>
      <c r="H5" s="308">
        <f t="shared" si="8"/>
        <v>41.596288814066597</v>
      </c>
      <c r="I5" s="246">
        <f>541309.2/F5</f>
        <v>40.501997755331082</v>
      </c>
      <c r="J5" s="252">
        <f t="shared" si="0"/>
        <v>379.69322858211746</v>
      </c>
      <c r="K5" s="252">
        <f t="shared" si="1"/>
        <v>156.26636737747847</v>
      </c>
      <c r="L5" s="251">
        <v>54330</v>
      </c>
      <c r="M5" s="141">
        <v>4.0013599999999991</v>
      </c>
      <c r="N5" s="258">
        <v>27.989329999999999</v>
      </c>
      <c r="O5" s="136">
        <v>5.4321700000000002</v>
      </c>
      <c r="P5" s="1"/>
      <c r="Q5" s="186"/>
      <c r="R5" s="1"/>
      <c r="S5" s="199">
        <f t="shared" si="2"/>
        <v>7.885074685689511E-3</v>
      </c>
      <c r="T5" s="257">
        <f t="shared" si="3"/>
        <v>1.0704626965672173E-2</v>
      </c>
      <c r="U5" s="257">
        <f t="shared" si="4"/>
        <v>0.12539460597643473</v>
      </c>
      <c r="V5" s="257">
        <f t="shared" si="5"/>
        <v>0.43985732865644583</v>
      </c>
      <c r="W5" s="276">
        <f t="shared" si="6"/>
        <v>5.5155736412722187E-2</v>
      </c>
      <c r="X5" s="1"/>
      <c r="Y5" s="1"/>
      <c r="Z5" s="1"/>
      <c r="AA5" s="1"/>
    </row>
    <row r="6" spans="1:27" ht="13">
      <c r="A6" s="244" t="s">
        <v>472</v>
      </c>
      <c r="B6" s="245">
        <v>79.36</v>
      </c>
      <c r="C6" s="303">
        <v>256837</v>
      </c>
      <c r="D6" s="245">
        <v>28.49</v>
      </c>
      <c r="E6" s="251">
        <v>25.19</v>
      </c>
      <c r="F6" s="245">
        <v>4130</v>
      </c>
      <c r="G6" s="308">
        <f t="shared" si="7"/>
        <v>3.0898974836180146</v>
      </c>
      <c r="H6" s="308">
        <f t="shared" si="8"/>
        <v>62.188135593220338</v>
      </c>
      <c r="I6" s="245">
        <v>23.94</v>
      </c>
      <c r="J6" s="252">
        <f t="shared" si="0"/>
        <v>192.1549636803874</v>
      </c>
      <c r="K6" s="252">
        <f t="shared" si="1"/>
        <v>60.992736077481837</v>
      </c>
      <c r="L6" s="251">
        <v>18960</v>
      </c>
      <c r="M6" s="136">
        <v>0.82460000000000011</v>
      </c>
      <c r="N6" s="258">
        <v>4.1772200000000002</v>
      </c>
      <c r="O6" s="136">
        <v>0.67832999999999999</v>
      </c>
      <c r="P6" s="1"/>
      <c r="Q6" s="1"/>
      <c r="R6" s="1"/>
      <c r="S6" s="199">
        <f t="shared" si="2"/>
        <v>1.0390625000000002E-2</v>
      </c>
      <c r="T6" s="257">
        <f t="shared" si="3"/>
        <v>8.5475050403225807E-3</v>
      </c>
      <c r="U6" s="257">
        <f t="shared" si="4"/>
        <v>0.14662056862056863</v>
      </c>
      <c r="V6" s="257">
        <f t="shared" si="5"/>
        <v>0.35899697580645157</v>
      </c>
      <c r="W6" s="276">
        <f t="shared" si="6"/>
        <v>5.2636340725806453E-2</v>
      </c>
      <c r="X6" s="1"/>
      <c r="Y6" s="1"/>
      <c r="Z6" s="1"/>
      <c r="AA6" s="1"/>
    </row>
    <row r="7" spans="1:27" ht="13">
      <c r="A7" s="244" t="s">
        <v>474</v>
      </c>
      <c r="B7" s="176">
        <v>520.26</v>
      </c>
      <c r="C7" s="303">
        <v>973731.64</v>
      </c>
      <c r="D7" s="176">
        <v>167.64</v>
      </c>
      <c r="E7" s="176">
        <v>150.66</v>
      </c>
      <c r="F7" s="245">
        <v>15363</v>
      </c>
      <c r="G7" s="308">
        <f t="shared" si="7"/>
        <v>5.3429505484693909</v>
      </c>
      <c r="H7" s="308">
        <f t="shared" si="8"/>
        <v>63.381607758901254</v>
      </c>
      <c r="I7" s="246">
        <f>327604.3/F7</f>
        <v>21.324240057280477</v>
      </c>
      <c r="J7" s="252">
        <f t="shared" si="0"/>
        <v>338.64479593829327</v>
      </c>
      <c r="K7" s="252">
        <f t="shared" si="1"/>
        <v>98.066783831282962</v>
      </c>
      <c r="L7" s="251">
        <v>13720</v>
      </c>
      <c r="M7" s="141">
        <v>6.223370000000001</v>
      </c>
      <c r="N7" s="141">
        <v>11.282629999999999</v>
      </c>
      <c r="O7" s="141">
        <f>641086/100000</f>
        <v>6.4108599999999996</v>
      </c>
      <c r="P7" s="186"/>
      <c r="Q7" s="1"/>
      <c r="R7" s="1"/>
      <c r="S7" s="199">
        <f t="shared" si="2"/>
        <v>1.1962038211663402E-2</v>
      </c>
      <c r="T7" s="257">
        <f t="shared" si="3"/>
        <v>1.2322415715219312E-2</v>
      </c>
      <c r="U7" s="257">
        <f t="shared" si="4"/>
        <v>6.7302732044858024E-2</v>
      </c>
      <c r="V7" s="257">
        <f t="shared" si="5"/>
        <v>0.32222350363279895</v>
      </c>
      <c r="W7" s="276">
        <f t="shared" si="6"/>
        <v>2.1686522123553608E-2</v>
      </c>
      <c r="X7" s="1"/>
      <c r="Y7" s="1"/>
      <c r="Z7" s="1"/>
      <c r="AA7" s="1"/>
    </row>
    <row r="8" spans="1:27" ht="13">
      <c r="A8" s="250" t="s">
        <v>671</v>
      </c>
      <c r="B8" s="176">
        <f>SUM(B2:B7)</f>
        <v>1855.8999999999999</v>
      </c>
      <c r="C8" s="303">
        <f>SUM(C2:C7)</f>
        <v>2983853.97</v>
      </c>
      <c r="D8" s="176">
        <f t="shared" ref="D8:F8" si="9">SUM(D2:D7)</f>
        <v>656.59</v>
      </c>
      <c r="E8" s="176">
        <f t="shared" si="9"/>
        <v>589.92999999999995</v>
      </c>
      <c r="F8" s="176">
        <f t="shared" si="9"/>
        <v>61488</v>
      </c>
      <c r="G8" s="308">
        <f>B8/C8*10000</f>
        <v>6.2198084043637021</v>
      </c>
      <c r="H8" s="308">
        <f t="shared" si="8"/>
        <v>48.52741949648712</v>
      </c>
      <c r="I8" s="252">
        <v>36.174406960756571</v>
      </c>
      <c r="J8" s="252">
        <f t="shared" si="0"/>
        <v>301.83125162633354</v>
      </c>
      <c r="K8" s="252">
        <f t="shared" si="1"/>
        <v>95.94229768410095</v>
      </c>
      <c r="L8" s="253">
        <v>46453.098165495707</v>
      </c>
      <c r="M8" s="176">
        <f>SUM(M2:M7)</f>
        <v>18.351869999999998</v>
      </c>
      <c r="N8" s="176">
        <f>SUM(N2:N7)</f>
        <v>76.741650000000007</v>
      </c>
      <c r="O8" s="176">
        <f t="shared" ref="O8" si="10">SUM(O2:O7)</f>
        <v>21.286079999999998</v>
      </c>
      <c r="P8" s="186"/>
      <c r="Q8" s="1"/>
      <c r="R8" s="1"/>
      <c r="S8" s="199">
        <f t="shared" si="2"/>
        <v>9.888393771216121E-3</v>
      </c>
      <c r="T8" s="257">
        <f t="shared" si="3"/>
        <v>1.1469411067406649E-2</v>
      </c>
      <c r="U8" s="257">
        <f t="shared" si="4"/>
        <v>0.11687910263634842</v>
      </c>
      <c r="V8" s="257">
        <f t="shared" si="5"/>
        <v>0.35378522549706348</v>
      </c>
      <c r="W8" s="276">
        <f t="shared" si="6"/>
        <v>4.1350099682094944E-2</v>
      </c>
      <c r="X8" s="138"/>
      <c r="Y8" s="138"/>
      <c r="Z8" s="138"/>
      <c r="AA8" s="138"/>
    </row>
    <row r="9" spans="1:27" ht="13">
      <c r="A9" s="259"/>
      <c r="B9" s="176">
        <v>33944.17</v>
      </c>
      <c r="J9" s="176">
        <v>441.23</v>
      </c>
      <c r="K9" s="176">
        <v>2809.73</v>
      </c>
      <c r="L9" s="176">
        <v>321.37</v>
      </c>
    </row>
    <row r="10" spans="1:27">
      <c r="B10" s="151">
        <f>SUM(B8:B9)</f>
        <v>35800.07</v>
      </c>
      <c r="J10" s="151">
        <f>SUM(J8:J9)</f>
        <v>743.06125162633361</v>
      </c>
      <c r="K10" s="151">
        <f t="shared" ref="K10:L10" si="11">SUM(K8:K9)</f>
        <v>2905.6722976841011</v>
      </c>
      <c r="L10" s="151">
        <f t="shared" si="11"/>
        <v>46774.468165495709</v>
      </c>
    </row>
    <row r="11" spans="1:27">
      <c r="J11" s="270">
        <f>J10/$B$10</f>
        <v>2.0755860299332757E-2</v>
      </c>
      <c r="K11" s="270">
        <f t="shared" ref="K11:L11" si="12">K10/$B$10</f>
        <v>8.1163871961258766E-2</v>
      </c>
      <c r="L11" s="270">
        <f t="shared" si="12"/>
        <v>1.3065468353971295</v>
      </c>
    </row>
    <row r="13" spans="1:27">
      <c r="K13" s="270">
        <f>K9/B9</f>
        <v>8.2775039130430939E-2</v>
      </c>
    </row>
    <row r="14" spans="1:27">
      <c r="K14" s="270">
        <f>N8/B8</f>
        <v>4.1350099682094944E-2</v>
      </c>
    </row>
    <row r="15" spans="1:27" ht="13">
      <c r="R15" s="349" t="s">
        <v>658</v>
      </c>
      <c r="S15" s="349"/>
      <c r="T15" s="349"/>
      <c r="U15" s="349"/>
      <c r="V15" s="349"/>
    </row>
    <row r="33" spans="1:10" ht="31.5">
      <c r="A33" s="260" t="s">
        <v>676</v>
      </c>
      <c r="B33" s="261" t="s">
        <v>677</v>
      </c>
      <c r="C33" s="261" t="s">
        <v>678</v>
      </c>
      <c r="D33" s="261" t="s">
        <v>679</v>
      </c>
      <c r="E33" s="261" t="s">
        <v>680</v>
      </c>
      <c r="G33" s="260" t="s">
        <v>676</v>
      </c>
      <c r="H33" s="261" t="s">
        <v>751</v>
      </c>
      <c r="I33" s="261" t="s">
        <v>752</v>
      </c>
      <c r="J33" s="261" t="s">
        <v>753</v>
      </c>
    </row>
    <row r="34" spans="1:10" ht="15">
      <c r="A34" s="262" t="s">
        <v>681</v>
      </c>
      <c r="B34" s="176">
        <f t="shared" ref="B34:B40" si="13">F2*I2/10000</f>
        <v>29.077449999999999</v>
      </c>
      <c r="C34" s="176">
        <f t="shared" ref="C34:C40" si="14">M2+O2</f>
        <v>4.2595000000000001</v>
      </c>
      <c r="D34" s="176">
        <v>2.06427</v>
      </c>
      <c r="E34" s="176">
        <f t="shared" ref="E34:E40" si="15">D2</f>
        <v>67.94</v>
      </c>
      <c r="G34" s="262" t="s">
        <v>681</v>
      </c>
      <c r="H34" s="176">
        <f>B2</f>
        <v>180.22</v>
      </c>
      <c r="I34" s="176">
        <f>城商银行参数!C3/10000</f>
        <v>24.845752999999998</v>
      </c>
      <c r="J34" s="176">
        <f>H34/I34</f>
        <v>7.2535535550079731</v>
      </c>
    </row>
    <row r="35" spans="1:10" ht="15">
      <c r="A35" s="262" t="s">
        <v>682</v>
      </c>
      <c r="B35" s="176">
        <f t="shared" si="13"/>
        <v>81.97</v>
      </c>
      <c r="C35" s="176">
        <f t="shared" si="14"/>
        <v>9.52</v>
      </c>
      <c r="D35" s="176">
        <v>7.29</v>
      </c>
      <c r="E35" s="176">
        <f t="shared" si="15"/>
        <v>143.63</v>
      </c>
      <c r="G35" s="262" t="s">
        <v>682</v>
      </c>
      <c r="H35" s="176">
        <f t="shared" ref="H35:H39" si="16">B3</f>
        <v>477.03</v>
      </c>
      <c r="I35" s="176">
        <f>城商银行参数!C4/10000</f>
        <v>64.934799999999996</v>
      </c>
      <c r="J35" s="176">
        <f t="shared" ref="J35:J40" si="17">H35/I35</f>
        <v>7.3462919728712492</v>
      </c>
    </row>
    <row r="36" spans="1:10" ht="15">
      <c r="A36" s="262" t="s">
        <v>683</v>
      </c>
      <c r="B36" s="176">
        <f t="shared" si="13"/>
        <v>14.603173520299999</v>
      </c>
      <c r="C36" s="176">
        <f t="shared" si="14"/>
        <v>2.28776</v>
      </c>
      <c r="D36" s="176">
        <v>0.91166000000000003</v>
      </c>
      <c r="E36" s="176">
        <f t="shared" si="15"/>
        <v>25.68</v>
      </c>
      <c r="G36" s="262" t="s">
        <v>683</v>
      </c>
      <c r="H36" s="176">
        <f t="shared" si="16"/>
        <v>91.57</v>
      </c>
      <c r="I36" s="176">
        <f>城商银行参数!C5/10000</f>
        <v>29.954540000000001</v>
      </c>
      <c r="J36" s="176">
        <f t="shared" si="17"/>
        <v>3.0569656552896487</v>
      </c>
    </row>
    <row r="37" spans="1:10" ht="15">
      <c r="A37" s="262" t="s">
        <v>684</v>
      </c>
      <c r="B37" s="176">
        <f t="shared" si="13"/>
        <v>54.130919999999996</v>
      </c>
      <c r="C37" s="176">
        <f t="shared" si="14"/>
        <v>9.4335299999999993</v>
      </c>
      <c r="D37" s="176">
        <v>3.34</v>
      </c>
      <c r="E37" s="176">
        <f t="shared" si="15"/>
        <v>223.21</v>
      </c>
      <c r="G37" s="262" t="s">
        <v>684</v>
      </c>
      <c r="H37" s="176">
        <f t="shared" si="16"/>
        <v>507.46</v>
      </c>
      <c r="I37" s="176">
        <f>城商银行参数!C6/10000</f>
        <v>55.593440000000001</v>
      </c>
      <c r="J37" s="176">
        <f t="shared" si="17"/>
        <v>9.1280553964640418</v>
      </c>
    </row>
    <row r="38" spans="1:10" ht="15">
      <c r="A38" s="262" t="s">
        <v>685</v>
      </c>
      <c r="B38" s="176">
        <f t="shared" si="13"/>
        <v>9.887220000000001</v>
      </c>
      <c r="C38" s="176">
        <f t="shared" si="14"/>
        <v>1.5029300000000001</v>
      </c>
      <c r="D38" s="176">
        <v>1.0851</v>
      </c>
      <c r="E38" s="176">
        <f t="shared" si="15"/>
        <v>28.49</v>
      </c>
      <c r="G38" s="262" t="s">
        <v>685</v>
      </c>
      <c r="H38" s="176">
        <f t="shared" si="16"/>
        <v>79.36</v>
      </c>
      <c r="I38" s="176">
        <f>城商银行参数!C7/10000</f>
        <v>25.683700000000002</v>
      </c>
      <c r="J38" s="176">
        <f t="shared" si="17"/>
        <v>3.0898974836180142</v>
      </c>
    </row>
    <row r="39" spans="1:10" ht="15">
      <c r="A39" s="262" t="s">
        <v>686</v>
      </c>
      <c r="B39" s="176">
        <f t="shared" si="13"/>
        <v>32.760429999999999</v>
      </c>
      <c r="C39" s="176">
        <f t="shared" si="14"/>
        <v>12.634230000000001</v>
      </c>
      <c r="D39" s="176">
        <v>5.1070000000000002</v>
      </c>
      <c r="E39" s="176">
        <f t="shared" si="15"/>
        <v>167.64</v>
      </c>
      <c r="G39" s="262" t="s">
        <v>686</v>
      </c>
      <c r="H39" s="176">
        <f t="shared" si="16"/>
        <v>520.26</v>
      </c>
      <c r="I39" s="176">
        <f>城商银行参数!C8/10000</f>
        <v>97.373164000000003</v>
      </c>
      <c r="J39" s="176">
        <f t="shared" si="17"/>
        <v>5.3429505484693909</v>
      </c>
    </row>
    <row r="40" spans="1:10" ht="15">
      <c r="A40" s="262" t="s">
        <v>692</v>
      </c>
      <c r="B40" s="176">
        <f t="shared" si="13"/>
        <v>222.4291935203</v>
      </c>
      <c r="C40" s="176">
        <f t="shared" si="14"/>
        <v>39.637949999999996</v>
      </c>
      <c r="D40" s="176">
        <f>SUM(D34:D39)</f>
        <v>19.798030000000001</v>
      </c>
      <c r="E40" s="176">
        <f t="shared" si="15"/>
        <v>656.59</v>
      </c>
      <c r="G40" s="262" t="s">
        <v>76</v>
      </c>
      <c r="H40" s="176">
        <f>SUM(H34:H39)</f>
        <v>1855.8999999999999</v>
      </c>
      <c r="I40" s="176">
        <f>SUM(I34:I39)</f>
        <v>298.38539700000001</v>
      </c>
      <c r="J40" s="176">
        <f t="shared" si="17"/>
        <v>6.2198084043637021</v>
      </c>
    </row>
    <row r="41" spans="1:10">
      <c r="A41" s="343">
        <f>SUM(B40:E40)/B8</f>
        <v>0.50566042002279221</v>
      </c>
      <c r="B41" s="344"/>
      <c r="C41" s="344"/>
      <c r="D41" s="344"/>
      <c r="E41" s="345"/>
    </row>
    <row r="42" spans="1:10" ht="15">
      <c r="A42" s="260" t="s">
        <v>676</v>
      </c>
      <c r="B42" s="261" t="s">
        <v>677</v>
      </c>
      <c r="C42" s="261" t="s">
        <v>678</v>
      </c>
      <c r="D42" s="261" t="s">
        <v>679</v>
      </c>
      <c r="E42" s="261" t="s">
        <v>680</v>
      </c>
    </row>
    <row r="43" spans="1:10" ht="15">
      <c r="A43" s="262" t="s">
        <v>687</v>
      </c>
      <c r="B43" s="256">
        <v>892.32550800000001</v>
      </c>
      <c r="C43" s="256">
        <v>122.07</v>
      </c>
      <c r="D43" s="256">
        <v>152.25</v>
      </c>
      <c r="E43" s="256">
        <v>2451.2399999999998</v>
      </c>
    </row>
    <row r="44" spans="1:10" ht="15">
      <c r="A44" s="262" t="s">
        <v>688</v>
      </c>
      <c r="B44" s="256">
        <v>1233.7919999999999</v>
      </c>
      <c r="C44" s="256">
        <v>143.6</v>
      </c>
      <c r="D44" s="256">
        <v>134.11000000000001</v>
      </c>
      <c r="E44" s="256">
        <v>2650.5</v>
      </c>
    </row>
    <row r="45" spans="1:10" ht="15">
      <c r="A45" s="262" t="s">
        <v>689</v>
      </c>
      <c r="B45" s="256">
        <v>326.03330399999993</v>
      </c>
      <c r="C45" s="256">
        <v>63.66</v>
      </c>
      <c r="D45" s="256">
        <v>116.74</v>
      </c>
      <c r="E45" s="256">
        <v>864.25</v>
      </c>
    </row>
    <row r="46" spans="1:10" ht="15">
      <c r="A46" s="262" t="s">
        <v>690</v>
      </c>
      <c r="B46" s="256">
        <v>1042.718922</v>
      </c>
      <c r="C46" s="256">
        <v>170.26</v>
      </c>
      <c r="D46" s="256">
        <v>173.52</v>
      </c>
      <c r="E46" s="256">
        <v>3372.46</v>
      </c>
    </row>
    <row r="47" spans="1:10" ht="15">
      <c r="A47" s="262" t="s">
        <v>659</v>
      </c>
      <c r="B47" s="256">
        <v>514.18892400000004</v>
      </c>
      <c r="C47" s="256">
        <v>54.489999999999995</v>
      </c>
      <c r="D47" s="256">
        <v>34.67</v>
      </c>
      <c r="E47" s="256">
        <v>681.36</v>
      </c>
    </row>
    <row r="48" spans="1:10" ht="15">
      <c r="A48" s="262" t="s">
        <v>691</v>
      </c>
      <c r="B48" s="256">
        <v>1265.7069860000001</v>
      </c>
      <c r="C48" s="256">
        <v>208.51999999999998</v>
      </c>
      <c r="D48" s="256">
        <v>187.84</v>
      </c>
      <c r="E48" s="256">
        <v>3913.82</v>
      </c>
    </row>
    <row r="49" spans="1:5" ht="15">
      <c r="A49" s="262" t="s">
        <v>350</v>
      </c>
      <c r="B49" s="256">
        <v>5274.7656440000001</v>
      </c>
      <c r="C49" s="256">
        <v>762.59999999999991</v>
      </c>
      <c r="D49" s="256">
        <v>799.13</v>
      </c>
      <c r="E49" s="256">
        <v>13933.630000000001</v>
      </c>
    </row>
    <row r="50" spans="1:5">
      <c r="A50" s="344">
        <f>SUM(B49:E49)/'国有银行应交税费 '!B8</f>
        <v>0.6118908090549865</v>
      </c>
      <c r="B50" s="344"/>
      <c r="C50" s="344"/>
      <c r="D50" s="344"/>
      <c r="E50" s="345"/>
    </row>
    <row r="53" spans="1:5" ht="13">
      <c r="A53" s="265" t="s">
        <v>700</v>
      </c>
      <c r="B53" s="256">
        <f>B40+B49</f>
        <v>5497.1948375203001</v>
      </c>
      <c r="C53" s="256">
        <f t="shared" ref="C53:E53" si="18">C40+C49</f>
        <v>802.23794999999996</v>
      </c>
      <c r="D53" s="256">
        <f t="shared" si="18"/>
        <v>818.92803000000004</v>
      </c>
      <c r="E53" s="256">
        <f t="shared" si="18"/>
        <v>14590.220000000001</v>
      </c>
    </row>
    <row r="54" spans="1:5" ht="13">
      <c r="A54" s="265" t="s">
        <v>701</v>
      </c>
      <c r="B54" s="346">
        <f>SUM(B53:E53)/(B10)</f>
        <v>0.60638375337032313</v>
      </c>
      <c r="C54" s="347"/>
      <c r="D54" s="347"/>
      <c r="E54" s="348"/>
    </row>
  </sheetData>
  <mergeCells count="4">
    <mergeCell ref="A41:E41"/>
    <mergeCell ref="A50:E50"/>
    <mergeCell ref="B54:E54"/>
    <mergeCell ref="R15:V15"/>
  </mergeCells>
  <phoneticPr fontId="7" type="noConversion"/>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713C81-83E5-45A5-8023-6AEB4CC37F34}">
  <dimension ref="A2:M10"/>
  <sheetViews>
    <sheetView workbookViewId="0">
      <selection activeCell="G21" sqref="G21"/>
    </sheetView>
  </sheetViews>
  <sheetFormatPr defaultRowHeight="12.5"/>
  <cols>
    <col min="1" max="1" width="21.81640625" customWidth="1"/>
    <col min="2" max="2" width="13.54296875" customWidth="1"/>
    <col min="3" max="3" width="11.54296875" customWidth="1"/>
    <col min="4" max="4" width="10.1796875" customWidth="1"/>
    <col min="6" max="9" width="11.54296875" customWidth="1"/>
    <col min="10" max="10" width="12.54296875" customWidth="1"/>
    <col min="11" max="11" width="12.81640625" customWidth="1"/>
    <col min="12" max="12" width="13.81640625" customWidth="1"/>
    <col min="13" max="13" width="12.453125" customWidth="1"/>
    <col min="14" max="14" width="14.1796875" customWidth="1"/>
    <col min="15" max="19" width="11.54296875" customWidth="1"/>
    <col min="20" max="20" width="11.453125" customWidth="1"/>
    <col min="21" max="21" width="11.54296875" customWidth="1"/>
    <col min="22" max="22" width="12.81640625" customWidth="1"/>
    <col min="24" max="24" width="10.453125" customWidth="1"/>
    <col min="25" max="25" width="10.1796875" customWidth="1"/>
    <col min="26" max="26" width="12.453125" customWidth="1"/>
    <col min="27" max="27" width="10.81640625" customWidth="1"/>
    <col min="28" max="28" width="10.453125" customWidth="1"/>
    <col min="29" max="30" width="12.1796875" customWidth="1"/>
    <col min="31" max="32" width="11.453125" customWidth="1"/>
    <col min="33" max="33" width="13.81640625" customWidth="1"/>
  </cols>
  <sheetData>
    <row r="2" spans="1:13" ht="39">
      <c r="A2" s="244" t="s">
        <v>460</v>
      </c>
      <c r="B2" s="244" t="s">
        <v>461</v>
      </c>
      <c r="C2" s="244" t="s">
        <v>633</v>
      </c>
      <c r="D2" s="244" t="s">
        <v>630</v>
      </c>
      <c r="E2" s="243" t="s">
        <v>629</v>
      </c>
      <c r="F2" s="243" t="s">
        <v>631</v>
      </c>
      <c r="G2" s="243" t="s">
        <v>632</v>
      </c>
      <c r="H2" s="243" t="s">
        <v>635</v>
      </c>
      <c r="I2" s="243" t="s">
        <v>636</v>
      </c>
      <c r="J2" s="243" t="s">
        <v>648</v>
      </c>
      <c r="K2" s="243" t="s">
        <v>661</v>
      </c>
      <c r="L2" s="243" t="s">
        <v>360</v>
      </c>
      <c r="M2" s="243" t="s">
        <v>660</v>
      </c>
    </row>
    <row r="3" spans="1:13" ht="13">
      <c r="A3" s="244" t="s">
        <v>640</v>
      </c>
      <c r="B3" s="245">
        <v>10500</v>
      </c>
      <c r="C3" s="245"/>
      <c r="D3" s="245">
        <v>309084</v>
      </c>
      <c r="E3" s="176">
        <f>D3/B3</f>
        <v>29.43657142857143</v>
      </c>
      <c r="F3" s="246"/>
      <c r="G3" s="245">
        <v>28.87</v>
      </c>
      <c r="H3" s="246">
        <f t="shared" ref="H3:H9" si="0">L3/D3*10000</f>
        <v>182.97000168239055</v>
      </c>
      <c r="I3" s="246">
        <f t="shared" ref="I3:I9" si="1">M3/D3*10000</f>
        <v>0</v>
      </c>
      <c r="J3" s="246">
        <f t="shared" ref="J3:J9" si="2">L3/B3*10000</f>
        <v>5386.0095238095237</v>
      </c>
      <c r="K3" s="256">
        <v>2451.2399999999998</v>
      </c>
      <c r="L3" s="256">
        <v>5655.31</v>
      </c>
      <c r="M3" s="256"/>
    </row>
    <row r="4" spans="1:13" ht="13">
      <c r="A4" s="244" t="s">
        <v>637</v>
      </c>
      <c r="B4" s="245">
        <v>22938</v>
      </c>
      <c r="C4" s="245"/>
      <c r="D4" s="245">
        <v>459000</v>
      </c>
      <c r="E4" s="176">
        <f t="shared" ref="E4:E9" si="3">D4/B4</f>
        <v>20.010462987182841</v>
      </c>
      <c r="F4" s="246"/>
      <c r="G4" s="246">
        <v>26.88</v>
      </c>
      <c r="H4" s="246">
        <f t="shared" si="0"/>
        <v>143.3466230936819</v>
      </c>
      <c r="I4" s="246">
        <f t="shared" si="1"/>
        <v>0</v>
      </c>
      <c r="J4" s="246">
        <f t="shared" si="2"/>
        <v>2868.4322957537711</v>
      </c>
      <c r="K4" s="256">
        <v>2650.5</v>
      </c>
      <c r="L4" s="256">
        <v>6579.61</v>
      </c>
      <c r="M4" s="256"/>
    </row>
    <row r="5" spans="1:13" ht="13">
      <c r="A5" s="244" t="s">
        <v>642</v>
      </c>
      <c r="B5" s="245">
        <v>3025</v>
      </c>
      <c r="C5" s="245"/>
      <c r="D5" s="245">
        <v>90716</v>
      </c>
      <c r="E5" s="176">
        <f t="shared" si="3"/>
        <v>29.988760330578511</v>
      </c>
      <c r="F5" s="246"/>
      <c r="G5" s="246">
        <v>35.94</v>
      </c>
      <c r="H5" s="246">
        <f t="shared" si="0"/>
        <v>271.39644605141319</v>
      </c>
      <c r="I5" s="246">
        <f t="shared" si="1"/>
        <v>0</v>
      </c>
      <c r="J5" s="246">
        <f t="shared" si="2"/>
        <v>8138.8429752066113</v>
      </c>
      <c r="K5" s="256">
        <v>864.25</v>
      </c>
      <c r="L5" s="246">
        <v>2462</v>
      </c>
      <c r="M5" s="256"/>
    </row>
    <row r="6" spans="1:13" ht="13">
      <c r="A6" s="244" t="s">
        <v>639</v>
      </c>
      <c r="B6" s="245">
        <v>14700</v>
      </c>
      <c r="C6" s="245"/>
      <c r="D6" s="245">
        <v>349671</v>
      </c>
      <c r="E6" s="176">
        <f t="shared" si="3"/>
        <v>23.787142857142857</v>
      </c>
      <c r="F6" s="246"/>
      <c r="G6" s="246">
        <v>29.82</v>
      </c>
      <c r="H6" s="246">
        <f t="shared" si="0"/>
        <v>216.16262143557802</v>
      </c>
      <c r="I6" s="246">
        <f t="shared" si="1"/>
        <v>0</v>
      </c>
      <c r="J6" s="246">
        <f t="shared" si="2"/>
        <v>5141.8911564625851</v>
      </c>
      <c r="K6" s="256">
        <v>3372.46</v>
      </c>
      <c r="L6" s="256">
        <v>7558.58</v>
      </c>
      <c r="M6" s="256"/>
    </row>
    <row r="7" spans="1:13" ht="13">
      <c r="A7" s="244" t="s">
        <v>659</v>
      </c>
      <c r="B7" s="245">
        <v>39631</v>
      </c>
      <c r="C7" s="245"/>
      <c r="D7" s="245">
        <v>194527</v>
      </c>
      <c r="E7" s="176">
        <f t="shared" si="3"/>
        <v>4.9084555020060057</v>
      </c>
      <c r="F7" s="246"/>
      <c r="G7" s="245">
        <v>28.92</v>
      </c>
      <c r="H7" s="246">
        <f t="shared" si="0"/>
        <v>147.12713402252643</v>
      </c>
      <c r="I7" s="246">
        <f t="shared" si="1"/>
        <v>0</v>
      </c>
      <c r="J7" s="246">
        <f t="shared" si="2"/>
        <v>722.16699048724479</v>
      </c>
      <c r="K7" s="256">
        <v>681.36</v>
      </c>
      <c r="L7" s="256">
        <v>2862.02</v>
      </c>
      <c r="M7" s="256"/>
    </row>
    <row r="8" spans="1:13" ht="13">
      <c r="A8" s="244" t="s">
        <v>638</v>
      </c>
      <c r="B8" s="245">
        <v>15800</v>
      </c>
      <c r="C8" s="245"/>
      <c r="D8" s="245">
        <v>439787</v>
      </c>
      <c r="E8" s="176">
        <f>D8/B8</f>
        <v>27.834620253164555</v>
      </c>
      <c r="F8" s="246"/>
      <c r="G8" s="246">
        <v>28.78</v>
      </c>
      <c r="H8" s="246">
        <f t="shared" si="0"/>
        <v>200.70284023857005</v>
      </c>
      <c r="I8" s="246">
        <f t="shared" si="1"/>
        <v>0</v>
      </c>
      <c r="J8" s="246">
        <f t="shared" si="2"/>
        <v>5586.4873417721519</v>
      </c>
      <c r="K8" s="256">
        <v>3913.82</v>
      </c>
      <c r="L8" s="256">
        <v>8826.65</v>
      </c>
      <c r="M8" s="256"/>
    </row>
    <row r="9" spans="1:13" ht="13">
      <c r="A9" s="244" t="s">
        <v>634</v>
      </c>
      <c r="B9" s="245">
        <f>SUM(B3:B8)</f>
        <v>106594</v>
      </c>
      <c r="C9" s="245"/>
      <c r="D9" s="245">
        <f>SUM(D3:D8)</f>
        <v>1842785</v>
      </c>
      <c r="E9" s="176">
        <f t="shared" si="3"/>
        <v>17.287886747846972</v>
      </c>
      <c r="F9" s="246"/>
      <c r="G9" s="246">
        <f>N9/D9</f>
        <v>0</v>
      </c>
      <c r="H9" s="246">
        <f t="shared" si="0"/>
        <v>184.20038148780242</v>
      </c>
      <c r="I9" s="246">
        <f t="shared" si="1"/>
        <v>0</v>
      </c>
      <c r="J9" s="246">
        <f t="shared" si="2"/>
        <v>3184.435334071336</v>
      </c>
      <c r="K9" s="246">
        <f>SUM(K3:K8)</f>
        <v>13933.630000000001</v>
      </c>
      <c r="L9" s="246">
        <f>SUM(L3:L8)</f>
        <v>33944.17</v>
      </c>
      <c r="M9" s="246"/>
    </row>
    <row r="10" spans="1:13" ht="13">
      <c r="A10" s="259" t="s">
        <v>670</v>
      </c>
    </row>
  </sheetData>
  <phoneticPr fontId="7" type="noConversion"/>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9ACC85-27A4-48F6-A736-3075B3A76ADD}">
  <dimension ref="A1:AB29"/>
  <sheetViews>
    <sheetView workbookViewId="0">
      <selection activeCell="G32" sqref="G32"/>
    </sheetView>
  </sheetViews>
  <sheetFormatPr defaultRowHeight="12.5"/>
  <cols>
    <col min="1" max="1" width="20.81640625" customWidth="1"/>
    <col min="2" max="2" width="16.1796875" customWidth="1"/>
    <col min="3" max="4" width="16.54296875" customWidth="1"/>
    <col min="5" max="5" width="12.81640625" customWidth="1"/>
    <col min="6" max="8" width="15.54296875" customWidth="1"/>
    <col min="9" max="9" width="14.453125" customWidth="1"/>
    <col min="10" max="10" width="12.54296875" customWidth="1"/>
    <col min="11" max="11" width="14.453125" customWidth="1"/>
    <col min="12" max="18" width="15.1796875" customWidth="1"/>
    <col min="19" max="19" width="13" customWidth="1"/>
    <col min="20" max="20" width="12.81640625" customWidth="1"/>
    <col min="21" max="21" width="13.1796875" customWidth="1"/>
    <col min="22" max="22" width="12.81640625" customWidth="1"/>
    <col min="23" max="23" width="14.1796875" customWidth="1"/>
    <col min="24" max="24" width="12.54296875" customWidth="1"/>
    <col min="25" max="25" width="12.453125" customWidth="1"/>
  </cols>
  <sheetData>
    <row r="1" spans="1:28" ht="24.75" customHeight="1">
      <c r="A1" s="244" t="s">
        <v>460</v>
      </c>
      <c r="B1" s="249" t="s">
        <v>360</v>
      </c>
      <c r="C1" s="243" t="s">
        <v>661</v>
      </c>
      <c r="D1" s="249" t="s">
        <v>674</v>
      </c>
      <c r="E1" s="244" t="s">
        <v>630</v>
      </c>
      <c r="F1" s="243" t="s">
        <v>657</v>
      </c>
      <c r="G1" s="249" t="s">
        <v>672</v>
      </c>
      <c r="H1" s="249" t="s">
        <v>673</v>
      </c>
      <c r="I1" s="243" t="s">
        <v>666</v>
      </c>
      <c r="J1" s="243" t="s">
        <v>669</v>
      </c>
      <c r="K1" s="243" t="s">
        <v>662</v>
      </c>
      <c r="L1" s="243" t="s">
        <v>251</v>
      </c>
      <c r="M1" s="243" t="s">
        <v>663</v>
      </c>
      <c r="N1" s="243" t="s">
        <v>664</v>
      </c>
      <c r="O1" s="243" t="s">
        <v>665</v>
      </c>
      <c r="P1" s="243" t="s">
        <v>667</v>
      </c>
      <c r="Q1" s="249" t="s">
        <v>491</v>
      </c>
      <c r="R1" s="243" t="s">
        <v>492</v>
      </c>
      <c r="S1" s="249" t="s">
        <v>675</v>
      </c>
      <c r="T1" s="243"/>
      <c r="U1" s="243"/>
      <c r="V1" s="243"/>
      <c r="W1" s="243"/>
      <c r="X1" s="243"/>
      <c r="Y1" s="243"/>
      <c r="Z1" s="243"/>
      <c r="AA1" s="243"/>
      <c r="AB1" s="243"/>
    </row>
    <row r="2" spans="1:28" ht="13">
      <c r="A2" s="244" t="s">
        <v>640</v>
      </c>
      <c r="B2" s="256">
        <v>5655.31</v>
      </c>
      <c r="C2" s="256">
        <v>2451.2399999999998</v>
      </c>
      <c r="D2" s="256">
        <v>1928.7</v>
      </c>
      <c r="E2" s="245">
        <v>309084</v>
      </c>
      <c r="F2" s="245">
        <v>28.87</v>
      </c>
      <c r="G2" s="252">
        <f>B2/E2*10000</f>
        <v>182.97000168239055</v>
      </c>
      <c r="H2" s="252">
        <f>D2/E2*10000</f>
        <v>62.400512482043716</v>
      </c>
      <c r="I2" s="245">
        <v>28820</v>
      </c>
      <c r="J2" s="6">
        <v>67.42</v>
      </c>
      <c r="K2" s="6">
        <v>473.37</v>
      </c>
      <c r="L2" s="6">
        <v>54.65</v>
      </c>
      <c r="M2" s="6">
        <v>20.18</v>
      </c>
      <c r="N2" s="6">
        <v>14.68</v>
      </c>
      <c r="O2" s="6">
        <v>19.79</v>
      </c>
      <c r="P2" s="257">
        <f>J2/B2</f>
        <v>1.1921539225966392E-2</v>
      </c>
      <c r="Q2" s="257">
        <f>L2/B2</f>
        <v>9.663484406690348E-3</v>
      </c>
      <c r="R2" s="257">
        <f>K2/'国有银行参数 '!K3</f>
        <v>0.19311450531159741</v>
      </c>
      <c r="S2" s="257">
        <f>C2/B2</f>
        <v>0.43344043032123786</v>
      </c>
      <c r="T2" s="266">
        <f>K2/B2</f>
        <v>8.3703634283531753E-2</v>
      </c>
      <c r="U2" s="1"/>
      <c r="V2" s="1"/>
      <c r="W2" s="1"/>
      <c r="X2" s="1"/>
      <c r="Y2" s="1"/>
      <c r="Z2" s="1"/>
      <c r="AA2" s="1"/>
      <c r="AB2" s="1"/>
    </row>
    <row r="3" spans="1:28" ht="13">
      <c r="A3" s="244" t="s">
        <v>637</v>
      </c>
      <c r="B3" s="256">
        <v>6579.61</v>
      </c>
      <c r="C3" s="256">
        <v>2650.5</v>
      </c>
      <c r="D3" s="256">
        <v>2159.25</v>
      </c>
      <c r="E3" s="245">
        <v>459000</v>
      </c>
      <c r="F3" s="246">
        <v>26.88</v>
      </c>
      <c r="G3" s="252">
        <f t="shared" ref="G3:G8" si="0">B3/E3*10000</f>
        <v>143.3466230936819</v>
      </c>
      <c r="H3" s="252">
        <f t="shared" ref="H3:H8" si="1">D3/E3*10000</f>
        <v>47.042483660130713</v>
      </c>
      <c r="I3" s="245">
        <v>24840</v>
      </c>
      <c r="J3" s="246">
        <v>85.47</v>
      </c>
      <c r="K3" s="6">
        <v>543.4</v>
      </c>
      <c r="L3" s="6">
        <v>58.13</v>
      </c>
      <c r="M3" s="6">
        <v>21.98</v>
      </c>
      <c r="N3" s="6">
        <v>16.22</v>
      </c>
      <c r="O3" s="245">
        <f>L3-M3-N3</f>
        <v>19.930000000000007</v>
      </c>
      <c r="P3" s="257">
        <f t="shared" ref="P3:P8" si="2">J3/B3</f>
        <v>1.299013163394183E-2</v>
      </c>
      <c r="Q3" s="257">
        <f t="shared" ref="Q3:Q8" si="3">L3/B3</f>
        <v>8.8348701518783032E-3</v>
      </c>
      <c r="R3" s="257">
        <f>K3/'国有银行参数 '!K4</f>
        <v>0.20501792114695339</v>
      </c>
      <c r="S3" s="257">
        <f t="shared" ref="S3:S8" si="4">C3/B3</f>
        <v>0.40283542641585141</v>
      </c>
      <c r="T3" s="266">
        <f t="shared" ref="T3:T8" si="5">K3/B3</f>
        <v>8.2588481688124368E-2</v>
      </c>
      <c r="U3" s="1"/>
      <c r="V3" s="1"/>
      <c r="W3" s="1"/>
      <c r="X3" s="1"/>
      <c r="Y3" s="1"/>
      <c r="Z3" s="1"/>
      <c r="AA3" s="1"/>
      <c r="AB3" s="1"/>
    </row>
    <row r="4" spans="1:28" ht="13">
      <c r="A4" s="244" t="s">
        <v>642</v>
      </c>
      <c r="B4" s="246">
        <v>2462</v>
      </c>
      <c r="C4" s="256">
        <v>864.25</v>
      </c>
      <c r="D4" s="256">
        <v>782.74</v>
      </c>
      <c r="E4" s="245">
        <v>90716</v>
      </c>
      <c r="F4" s="246">
        <v>35.94</v>
      </c>
      <c r="G4" s="252">
        <f t="shared" si="0"/>
        <v>271.39644605141319</v>
      </c>
      <c r="H4" s="252">
        <f t="shared" si="1"/>
        <v>86.284668636183255</v>
      </c>
      <c r="I4" s="245">
        <v>42960</v>
      </c>
      <c r="J4" s="246">
        <v>35.43</v>
      </c>
      <c r="K4" s="246">
        <v>68.55</v>
      </c>
      <c r="L4" s="6">
        <v>28.23</v>
      </c>
      <c r="M4" s="6">
        <v>11.37</v>
      </c>
      <c r="N4" s="6">
        <v>8.17</v>
      </c>
      <c r="O4" s="245">
        <f>L4-M4-N4</f>
        <v>8.69</v>
      </c>
      <c r="P4" s="257">
        <f t="shared" si="2"/>
        <v>1.4390739236393175E-2</v>
      </c>
      <c r="Q4" s="257">
        <f t="shared" si="3"/>
        <v>1.1466287571080423E-2</v>
      </c>
      <c r="R4" s="257">
        <f>K4/'国有银行参数 '!K5</f>
        <v>7.9317327162279433E-2</v>
      </c>
      <c r="S4" s="257">
        <f t="shared" si="4"/>
        <v>0.35103574329813159</v>
      </c>
      <c r="T4" s="266">
        <f t="shared" si="5"/>
        <v>2.7843216896831842E-2</v>
      </c>
      <c r="U4" s="1"/>
      <c r="V4" s="1"/>
      <c r="W4" s="1"/>
      <c r="X4" s="1"/>
      <c r="Y4" s="1"/>
      <c r="Z4" s="1"/>
      <c r="AA4" s="1"/>
      <c r="AB4" s="1"/>
    </row>
    <row r="5" spans="1:28" ht="13">
      <c r="A5" s="244" t="s">
        <v>639</v>
      </c>
      <c r="B5" s="256">
        <v>7558.58</v>
      </c>
      <c r="C5" s="256">
        <v>3372.46</v>
      </c>
      <c r="D5" s="256">
        <v>2710.5</v>
      </c>
      <c r="E5" s="245">
        <v>349671</v>
      </c>
      <c r="F5" s="246">
        <v>29.82</v>
      </c>
      <c r="G5" s="252">
        <f t="shared" si="0"/>
        <v>216.16262143557802</v>
      </c>
      <c r="H5" s="252">
        <f t="shared" si="1"/>
        <v>77.515721921463324</v>
      </c>
      <c r="I5" s="245">
        <v>30720</v>
      </c>
      <c r="J5" s="6">
        <v>97.01</v>
      </c>
      <c r="K5" s="246">
        <v>721.74</v>
      </c>
      <c r="L5" s="6">
        <v>73.25</v>
      </c>
      <c r="M5" s="255"/>
      <c r="N5" s="255"/>
      <c r="O5" s="255"/>
      <c r="P5" s="257">
        <f t="shared" si="2"/>
        <v>1.2834421280187549E-2</v>
      </c>
      <c r="Q5" s="257">
        <f t="shared" si="3"/>
        <v>9.6909737014095245E-3</v>
      </c>
      <c r="R5" s="257">
        <f>K5/'国有银行参数 '!K6</f>
        <v>0.21400995119289776</v>
      </c>
      <c r="S5" s="257">
        <f t="shared" si="4"/>
        <v>0.44617639821236266</v>
      </c>
      <c r="T5" s="266">
        <f t="shared" si="5"/>
        <v>9.5486189204850649E-2</v>
      </c>
      <c r="U5" s="1"/>
      <c r="V5" s="1"/>
      <c r="W5" s="1"/>
      <c r="X5" s="1"/>
      <c r="Y5" s="1"/>
      <c r="Z5" s="1"/>
      <c r="AA5" s="1"/>
      <c r="AB5" s="1"/>
    </row>
    <row r="6" spans="1:28" ht="13">
      <c r="A6" s="244" t="s">
        <v>659</v>
      </c>
      <c r="B6" s="256">
        <v>2862.02</v>
      </c>
      <c r="C6" s="256">
        <v>681.36</v>
      </c>
      <c r="D6" s="256">
        <v>641.99</v>
      </c>
      <c r="E6" s="245">
        <v>177797</v>
      </c>
      <c r="F6" s="245">
        <v>28.92</v>
      </c>
      <c r="G6" s="252">
        <f t="shared" si="0"/>
        <v>160.97121998683892</v>
      </c>
      <c r="H6" s="252">
        <f t="shared" si="1"/>
        <v>36.108033318897391</v>
      </c>
      <c r="I6" s="245">
        <v>28920</v>
      </c>
      <c r="J6" s="6">
        <v>32.619999999999997</v>
      </c>
      <c r="K6" s="6">
        <v>104.82</v>
      </c>
      <c r="L6" s="6">
        <v>21.87</v>
      </c>
      <c r="M6" s="6">
        <v>8.84</v>
      </c>
      <c r="N6" s="6">
        <v>6.52</v>
      </c>
      <c r="O6" s="245">
        <f>L6-M6-N6</f>
        <v>6.5100000000000016</v>
      </c>
      <c r="P6" s="257">
        <f t="shared" si="2"/>
        <v>1.1397544391723328E-2</v>
      </c>
      <c r="Q6" s="257">
        <f t="shared" si="3"/>
        <v>7.6414560345490256E-3</v>
      </c>
      <c r="R6" s="257">
        <f>K6/'国有银行参数 '!K7</f>
        <v>0.15383938006340259</v>
      </c>
      <c r="S6" s="257">
        <f t="shared" si="4"/>
        <v>0.23806961516691008</v>
      </c>
      <c r="T6" s="266">
        <f t="shared" si="5"/>
        <v>3.6624482009210278E-2</v>
      </c>
      <c r="U6" s="1"/>
      <c r="V6" s="1"/>
      <c r="W6" s="1"/>
      <c r="X6" s="1"/>
      <c r="Y6" s="1"/>
      <c r="Z6" s="1"/>
      <c r="AA6" s="1"/>
      <c r="AB6" s="1"/>
    </row>
    <row r="7" spans="1:28" ht="13">
      <c r="A7" s="244" t="s">
        <v>638</v>
      </c>
      <c r="B7" s="256">
        <v>8826.65</v>
      </c>
      <c r="C7" s="256">
        <v>3913.82</v>
      </c>
      <c r="D7" s="256">
        <v>3159.06</v>
      </c>
      <c r="E7" s="245">
        <v>439787</v>
      </c>
      <c r="F7" s="246">
        <v>28.78</v>
      </c>
      <c r="G7" s="252">
        <f t="shared" si="0"/>
        <v>200.70284023857005</v>
      </c>
      <c r="H7" s="252">
        <f t="shared" si="1"/>
        <v>71.831591202104661</v>
      </c>
      <c r="I7" s="245">
        <v>28640</v>
      </c>
      <c r="J7" s="6">
        <v>123.28</v>
      </c>
      <c r="K7" s="6">
        <v>897.85</v>
      </c>
      <c r="L7" s="245">
        <v>85.24</v>
      </c>
      <c r="M7" s="245">
        <v>32.799999999999997</v>
      </c>
      <c r="N7" s="245">
        <v>23.74</v>
      </c>
      <c r="O7" s="245">
        <f>L7-M7-N7</f>
        <v>28.7</v>
      </c>
      <c r="P7" s="257">
        <f t="shared" si="2"/>
        <v>1.3966793743945893E-2</v>
      </c>
      <c r="Q7" s="257">
        <f t="shared" si="3"/>
        <v>9.6571179326244948E-3</v>
      </c>
      <c r="R7" s="257">
        <f>K7/'国有银行参数 '!K8</f>
        <v>0.22940503140154631</v>
      </c>
      <c r="S7" s="257">
        <f t="shared" si="4"/>
        <v>0.44340944752539191</v>
      </c>
      <c r="T7" s="266">
        <f t="shared" si="5"/>
        <v>0.10172035823330483</v>
      </c>
      <c r="U7" s="1"/>
      <c r="V7" s="1"/>
      <c r="W7" s="1"/>
      <c r="X7" s="1"/>
      <c r="Y7" s="1"/>
      <c r="Z7" s="1"/>
      <c r="AA7" s="1"/>
      <c r="AB7" s="1"/>
    </row>
    <row r="8" spans="1:28" ht="13">
      <c r="A8" s="250" t="s">
        <v>671</v>
      </c>
      <c r="B8" s="176">
        <f>SUM(B2:B7)</f>
        <v>33944.17</v>
      </c>
      <c r="C8" s="176">
        <f t="shared" ref="C8:E8" si="6">SUM(C2:C7)</f>
        <v>13933.630000000001</v>
      </c>
      <c r="D8" s="176">
        <f t="shared" si="6"/>
        <v>11382.24</v>
      </c>
      <c r="E8" s="176">
        <f t="shared" si="6"/>
        <v>1826055</v>
      </c>
      <c r="F8" s="252">
        <v>28.886126891030116</v>
      </c>
      <c r="G8" s="252">
        <f t="shared" si="0"/>
        <v>185.88799351607702</v>
      </c>
      <c r="H8" s="252">
        <f t="shared" si="1"/>
        <v>62.332405102803577</v>
      </c>
      <c r="I8" s="253">
        <v>28852.253782060234</v>
      </c>
      <c r="J8" s="176">
        <f>SUM(J2:J7)</f>
        <v>441.23</v>
      </c>
      <c r="K8" s="176">
        <f t="shared" ref="K8:L8" si="7">SUM(K2:K7)</f>
        <v>2809.73</v>
      </c>
      <c r="L8" s="176">
        <f t="shared" si="7"/>
        <v>321.37</v>
      </c>
      <c r="M8" s="186"/>
      <c r="N8" s="1"/>
      <c r="O8" s="1"/>
      <c r="P8" s="199">
        <f t="shared" si="2"/>
        <v>1.2998697567211101E-2</v>
      </c>
      <c r="Q8" s="257">
        <f t="shared" si="3"/>
        <v>9.4676051881663337E-3</v>
      </c>
      <c r="R8" s="257">
        <f t="shared" ref="R8" si="8">K8/C8</f>
        <v>0.20165096963246476</v>
      </c>
      <c r="S8" s="257">
        <f t="shared" si="4"/>
        <v>0.41048669035065527</v>
      </c>
      <c r="T8" s="266">
        <f t="shared" si="5"/>
        <v>8.2775039130430939E-2</v>
      </c>
      <c r="U8" s="138"/>
      <c r="V8" s="138"/>
      <c r="W8" s="138"/>
      <c r="X8" s="138"/>
      <c r="Y8" s="138"/>
      <c r="Z8" s="138"/>
      <c r="AA8" s="138"/>
      <c r="AB8" s="138"/>
    </row>
    <row r="9" spans="1:28" ht="13">
      <c r="A9" s="259" t="s">
        <v>670</v>
      </c>
    </row>
    <row r="15" spans="1:28" ht="13">
      <c r="V15" s="349" t="s">
        <v>658</v>
      </c>
      <c r="W15" s="349"/>
      <c r="X15" s="349"/>
      <c r="Y15" s="349"/>
      <c r="Z15" s="349"/>
    </row>
    <row r="21" spans="1:5" ht="15">
      <c r="A21" s="260" t="s">
        <v>676</v>
      </c>
      <c r="B21" s="261" t="s">
        <v>677</v>
      </c>
      <c r="C21" s="261" t="s">
        <v>678</v>
      </c>
      <c r="D21" s="261" t="s">
        <v>679</v>
      </c>
      <c r="E21" s="261" t="s">
        <v>680</v>
      </c>
    </row>
    <row r="22" spans="1:5" ht="15">
      <c r="A22" s="262" t="s">
        <v>687</v>
      </c>
      <c r="B22" s="256">
        <f>E2*F2/10000</f>
        <v>892.32550800000001</v>
      </c>
      <c r="C22" s="256">
        <f>J2+L2</f>
        <v>122.07</v>
      </c>
      <c r="D22" s="256">
        <v>152.25</v>
      </c>
      <c r="E22" s="256">
        <f>C2</f>
        <v>2451.2399999999998</v>
      </c>
    </row>
    <row r="23" spans="1:5" ht="15">
      <c r="A23" s="262" t="s">
        <v>688</v>
      </c>
      <c r="B23" s="256">
        <f t="shared" ref="B23:B27" si="9">E3*F3/10000</f>
        <v>1233.7919999999999</v>
      </c>
      <c r="C23" s="256">
        <f t="shared" ref="C23:C27" si="10">J3+L3</f>
        <v>143.6</v>
      </c>
      <c r="D23" s="256">
        <v>134.11000000000001</v>
      </c>
      <c r="E23" s="256">
        <f t="shared" ref="E23:E27" si="11">C3</f>
        <v>2650.5</v>
      </c>
    </row>
    <row r="24" spans="1:5" ht="15">
      <c r="A24" s="262" t="s">
        <v>689</v>
      </c>
      <c r="B24" s="256">
        <f t="shared" si="9"/>
        <v>326.03330399999993</v>
      </c>
      <c r="C24" s="256">
        <f t="shared" si="10"/>
        <v>63.66</v>
      </c>
      <c r="D24" s="256">
        <v>116.74</v>
      </c>
      <c r="E24" s="256">
        <f t="shared" si="11"/>
        <v>864.25</v>
      </c>
    </row>
    <row r="25" spans="1:5" ht="15">
      <c r="A25" s="262" t="s">
        <v>690</v>
      </c>
      <c r="B25" s="256">
        <f t="shared" si="9"/>
        <v>1042.718922</v>
      </c>
      <c r="C25" s="256">
        <f t="shared" si="10"/>
        <v>170.26</v>
      </c>
      <c r="D25" s="256">
        <v>173.52</v>
      </c>
      <c r="E25" s="256">
        <f t="shared" si="11"/>
        <v>3372.46</v>
      </c>
    </row>
    <row r="26" spans="1:5" ht="15">
      <c r="A26" s="262" t="s">
        <v>659</v>
      </c>
      <c r="B26" s="256">
        <f t="shared" si="9"/>
        <v>514.18892400000004</v>
      </c>
      <c r="C26" s="256">
        <f t="shared" si="10"/>
        <v>54.489999999999995</v>
      </c>
      <c r="D26" s="256">
        <v>34.67</v>
      </c>
      <c r="E26" s="256">
        <f t="shared" si="11"/>
        <v>681.36</v>
      </c>
    </row>
    <row r="27" spans="1:5" ht="15">
      <c r="A27" s="262" t="s">
        <v>691</v>
      </c>
      <c r="B27" s="256">
        <f t="shared" si="9"/>
        <v>1265.7069860000001</v>
      </c>
      <c r="C27" s="256">
        <f t="shared" si="10"/>
        <v>208.51999999999998</v>
      </c>
      <c r="D27" s="256">
        <v>187.84</v>
      </c>
      <c r="E27" s="256">
        <f t="shared" si="11"/>
        <v>3913.82</v>
      </c>
    </row>
    <row r="28" spans="1:5" ht="15">
      <c r="A28" s="262" t="s">
        <v>693</v>
      </c>
      <c r="B28" s="256">
        <f>SUM(B22:B27)</f>
        <v>5274.7656440000001</v>
      </c>
      <c r="C28" s="256">
        <f>SUM(C22:C27)</f>
        <v>762.59999999999991</v>
      </c>
      <c r="D28" s="256">
        <f t="shared" ref="D28:E28" si="12">SUM(D22:D27)</f>
        <v>799.13</v>
      </c>
      <c r="E28" s="256">
        <f t="shared" si="12"/>
        <v>13933.630000000001</v>
      </c>
    </row>
    <row r="29" spans="1:5">
      <c r="A29" s="344">
        <f>SUM(B28:E28)/B8</f>
        <v>0.6118908090549865</v>
      </c>
      <c r="B29" s="344"/>
      <c r="C29" s="344"/>
      <c r="D29" s="344"/>
      <c r="E29" s="345"/>
    </row>
  </sheetData>
  <mergeCells count="2">
    <mergeCell ref="A29:E29"/>
    <mergeCell ref="V15:Z15"/>
  </mergeCells>
  <phoneticPr fontId="7"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DC3703-0983-44F0-A4C9-080752FD658F}">
  <dimension ref="A1:M35"/>
  <sheetViews>
    <sheetView zoomScale="96" zoomScaleNormal="96" workbookViewId="0">
      <selection activeCell="C10" sqref="C10"/>
    </sheetView>
  </sheetViews>
  <sheetFormatPr defaultColWidth="9.1796875" defaultRowHeight="14"/>
  <cols>
    <col min="1" max="1" width="9.1796875" style="184"/>
    <col min="2" max="2" width="33.1796875" style="184" customWidth="1"/>
    <col min="3" max="3" width="21.1796875" style="184" customWidth="1"/>
    <col min="4" max="4" width="12.453125" style="184" customWidth="1"/>
    <col min="5" max="8" width="9.1796875" style="184"/>
    <col min="9" max="9" width="16.1796875" style="184" customWidth="1"/>
    <col min="10" max="10" width="33.81640625" style="184" customWidth="1"/>
    <col min="11" max="11" width="17.81640625" style="184" customWidth="1"/>
    <col min="12" max="12" width="15.1796875" style="184" customWidth="1"/>
    <col min="13" max="16384" width="9.1796875" style="184"/>
  </cols>
  <sheetData>
    <row r="1" spans="1:13">
      <c r="A1" s="272" t="s">
        <v>702</v>
      </c>
      <c r="B1" s="272" t="s">
        <v>703</v>
      </c>
      <c r="C1" s="272" t="s">
        <v>704</v>
      </c>
      <c r="D1" s="271"/>
      <c r="H1" s="275"/>
      <c r="I1" s="275"/>
    </row>
    <row r="2" spans="1:13">
      <c r="A2" s="351" t="s">
        <v>705</v>
      </c>
      <c r="B2" s="351"/>
      <c r="C2" s="273" t="e">
        <f>SUM(C4:C7)</f>
        <v>#VALUE!</v>
      </c>
      <c r="H2" s="275"/>
      <c r="I2" s="275"/>
    </row>
    <row r="3" spans="1:13">
      <c r="A3" s="273" t="s">
        <v>706</v>
      </c>
      <c r="B3" s="277" t="s">
        <v>707</v>
      </c>
      <c r="C3" s="273" t="e">
        <f>SUM(C4:C7)</f>
        <v>#VALUE!</v>
      </c>
    </row>
    <row r="4" spans="1:13">
      <c r="A4" s="273">
        <v>1</v>
      </c>
      <c r="B4" s="284" t="s">
        <v>709</v>
      </c>
      <c r="C4" s="291" t="e">
        <f>输入值【1】!C14*10000</f>
        <v>#VALUE!</v>
      </c>
      <c r="D4" s="275"/>
    </row>
    <row r="5" spans="1:13">
      <c r="A5" s="273">
        <v>2</v>
      </c>
      <c r="B5" s="284" t="s">
        <v>710</v>
      </c>
      <c r="C5" s="273">
        <v>0</v>
      </c>
    </row>
    <row r="6" spans="1:13">
      <c r="A6" s="273">
        <v>3</v>
      </c>
      <c r="B6" s="284" t="s">
        <v>711</v>
      </c>
      <c r="C6" s="273">
        <v>0</v>
      </c>
      <c r="I6" s="184" t="s">
        <v>786</v>
      </c>
    </row>
    <row r="7" spans="1:13">
      <c r="A7" s="273">
        <v>4</v>
      </c>
      <c r="B7" s="284" t="s">
        <v>712</v>
      </c>
      <c r="C7" s="273">
        <v>0</v>
      </c>
      <c r="I7" s="275">
        <v>139436</v>
      </c>
      <c r="J7" s="290">
        <f>I7/12</f>
        <v>11619.666666666666</v>
      </c>
      <c r="K7" s="275">
        <f>I7*3</f>
        <v>418308</v>
      </c>
    </row>
    <row r="8" spans="1:13">
      <c r="A8" s="273" t="s">
        <v>708</v>
      </c>
      <c r="B8" s="285" t="s">
        <v>713</v>
      </c>
      <c r="C8" s="273">
        <v>60000</v>
      </c>
    </row>
    <row r="9" spans="1:13">
      <c r="A9" s="273" t="s">
        <v>714</v>
      </c>
      <c r="B9" s="285" t="s">
        <v>715</v>
      </c>
      <c r="C9" s="288" t="e">
        <f>SUM(C10:C13)</f>
        <v>#VALUE!</v>
      </c>
    </row>
    <row r="10" spans="1:13">
      <c r="A10" s="273">
        <v>1</v>
      </c>
      <c r="B10" s="284" t="s">
        <v>716</v>
      </c>
      <c r="C10" s="289" t="e">
        <f>IF(C4&gt;输入值【1】!C13*3,输入值【1】!C13*3,C4)*8%</f>
        <v>#VALUE!</v>
      </c>
    </row>
    <row r="11" spans="1:13">
      <c r="A11" s="273">
        <v>2</v>
      </c>
      <c r="B11" s="284" t="s">
        <v>717</v>
      </c>
      <c r="C11" s="289" t="e">
        <f>IF(C4&gt;输入值【1】!C13*3,输入值【1】!C13*3,C4)*2%</f>
        <v>#VALUE!</v>
      </c>
      <c r="I11" s="280" t="s">
        <v>765</v>
      </c>
      <c r="J11" s="350" t="s">
        <v>766</v>
      </c>
      <c r="K11" s="350"/>
      <c r="L11" s="350" t="s">
        <v>767</v>
      </c>
      <c r="M11" s="350"/>
    </row>
    <row r="12" spans="1:13">
      <c r="A12" s="273">
        <v>3</v>
      </c>
      <c r="B12" s="284" t="s">
        <v>718</v>
      </c>
      <c r="C12" s="289" t="e">
        <f>IF(C4&gt;输入值【1】!C13*3,输入值【1】!C13*3,C4)*0.3%</f>
        <v>#VALUE!</v>
      </c>
      <c r="I12" s="278" t="s">
        <v>768</v>
      </c>
      <c r="J12" s="278" t="s">
        <v>769</v>
      </c>
      <c r="K12" s="279">
        <v>0.08</v>
      </c>
      <c r="L12" s="278" t="s">
        <v>769</v>
      </c>
      <c r="M12" s="279">
        <v>0.13</v>
      </c>
    </row>
    <row r="13" spans="1:13">
      <c r="A13" s="273">
        <v>4</v>
      </c>
      <c r="B13" s="284" t="s">
        <v>719</v>
      </c>
      <c r="C13" s="289" t="e">
        <f>IF(C4&gt;输入值【1】!C13*3,输入值【1】!C13*3,C4)*12%</f>
        <v>#VALUE!</v>
      </c>
      <c r="I13" s="280" t="s">
        <v>770</v>
      </c>
      <c r="J13" s="280" t="s">
        <v>769</v>
      </c>
      <c r="K13" s="281">
        <v>0.02</v>
      </c>
      <c r="L13" s="280" t="s">
        <v>769</v>
      </c>
      <c r="M13" s="282">
        <v>6.2E-2</v>
      </c>
    </row>
    <row r="14" spans="1:13">
      <c r="A14" s="273" t="s">
        <v>720</v>
      </c>
      <c r="B14" s="285" t="s">
        <v>721</v>
      </c>
      <c r="C14" s="273">
        <f>SUM(C15:C20)</f>
        <v>54000</v>
      </c>
      <c r="I14" s="278" t="s">
        <v>771</v>
      </c>
      <c r="J14" s="278" t="s">
        <v>769</v>
      </c>
      <c r="K14" s="283">
        <v>3.0000000000000001E-3</v>
      </c>
      <c r="L14" s="278" t="s">
        <v>769</v>
      </c>
      <c r="M14" s="279">
        <v>7.0000000000000001E-3</v>
      </c>
    </row>
    <row r="15" spans="1:13">
      <c r="A15" s="273">
        <v>1</v>
      </c>
      <c r="B15" s="284" t="s">
        <v>722</v>
      </c>
      <c r="C15" s="273">
        <f>1000*1*12</f>
        <v>12000</v>
      </c>
      <c r="I15" s="280" t="s">
        <v>772</v>
      </c>
      <c r="J15" s="280" t="s">
        <v>769</v>
      </c>
      <c r="K15" s="280" t="s">
        <v>769</v>
      </c>
      <c r="L15" s="280" t="s">
        <v>769</v>
      </c>
      <c r="M15" s="282">
        <v>4.8999999999999998E-3</v>
      </c>
    </row>
    <row r="16" spans="1:13">
      <c r="A16" s="273">
        <v>2</v>
      </c>
      <c r="B16" s="284" t="s">
        <v>723</v>
      </c>
      <c r="C16" s="273">
        <v>0</v>
      </c>
      <c r="I16" s="278" t="s">
        <v>773</v>
      </c>
      <c r="J16" s="278" t="s">
        <v>769</v>
      </c>
      <c r="K16" s="278" t="s">
        <v>769</v>
      </c>
      <c r="L16" s="278" t="s">
        <v>769</v>
      </c>
      <c r="M16" s="283">
        <v>5.0000000000000001E-3</v>
      </c>
    </row>
    <row r="17" spans="1:13">
      <c r="A17" s="273">
        <v>3</v>
      </c>
      <c r="B17" s="284" t="s">
        <v>725</v>
      </c>
      <c r="C17" s="273">
        <v>0</v>
      </c>
      <c r="I17" s="280" t="s">
        <v>719</v>
      </c>
      <c r="J17" s="280" t="s">
        <v>769</v>
      </c>
      <c r="K17" s="281">
        <v>0.12</v>
      </c>
      <c r="L17" s="280" t="s">
        <v>769</v>
      </c>
      <c r="M17" s="281">
        <v>0.12</v>
      </c>
    </row>
    <row r="18" spans="1:13">
      <c r="A18" s="273">
        <v>4</v>
      </c>
      <c r="B18" s="284" t="s">
        <v>728</v>
      </c>
      <c r="C18" s="273">
        <v>0</v>
      </c>
      <c r="I18" s="278" t="s">
        <v>774</v>
      </c>
      <c r="J18" s="278" t="s">
        <v>769</v>
      </c>
      <c r="K18" s="278" t="s">
        <v>769</v>
      </c>
      <c r="L18" s="278" t="s">
        <v>769</v>
      </c>
      <c r="M18" s="278" t="s">
        <v>769</v>
      </c>
    </row>
    <row r="19" spans="1:13">
      <c r="A19" s="273">
        <v>5</v>
      </c>
      <c r="B19" s="284" t="s">
        <v>731</v>
      </c>
      <c r="C19" s="273">
        <f>1500*12</f>
        <v>18000</v>
      </c>
    </row>
    <row r="20" spans="1:13">
      <c r="A20" s="273">
        <v>6</v>
      </c>
      <c r="B20" s="284" t="s">
        <v>733</v>
      </c>
      <c r="C20" s="273">
        <f>2000*12</f>
        <v>24000</v>
      </c>
    </row>
    <row r="21" spans="1:13">
      <c r="A21" s="273" t="s">
        <v>726</v>
      </c>
      <c r="B21" s="285" t="s">
        <v>735</v>
      </c>
      <c r="C21" s="273">
        <v>0</v>
      </c>
      <c r="I21" s="280" t="s">
        <v>775</v>
      </c>
      <c r="J21" s="280" t="s">
        <v>776</v>
      </c>
      <c r="K21" s="280" t="s">
        <v>777</v>
      </c>
      <c r="L21" s="280" t="s">
        <v>778</v>
      </c>
    </row>
    <row r="22" spans="1:13">
      <c r="A22" s="273" t="s">
        <v>729</v>
      </c>
      <c r="B22" s="285" t="s">
        <v>724</v>
      </c>
      <c r="C22" s="288" t="e">
        <f>C4+C5*80%+C6*80%*70%+C7*80%-C8-C9-C14-C21</f>
        <v>#VALUE!</v>
      </c>
      <c r="I22" s="280">
        <v>1</v>
      </c>
      <c r="J22" s="280" t="s">
        <v>779</v>
      </c>
      <c r="K22" s="311">
        <v>3</v>
      </c>
      <c r="L22" s="280">
        <v>0</v>
      </c>
    </row>
    <row r="23" spans="1:13">
      <c r="A23" s="273" t="s">
        <v>732</v>
      </c>
      <c r="B23" s="285" t="s">
        <v>727</v>
      </c>
      <c r="C23" s="286" t="e">
        <f>IF(C22&lt;=36000,3%,IF(AND(C22&gt;36000,C22&lt;=144000),10%,IF(AND(144000&lt;C22,C22&lt;=300000),20%,IF(AND(300000&lt;C22,C22&lt;=420000),25%,IF(AND(420000&lt;C22,C22&lt;=660000),30%,IF(AND(C22&gt;660000,C22&lt;=960000),35%,45%))))))</f>
        <v>#VALUE!</v>
      </c>
      <c r="I23" s="280">
        <v>2</v>
      </c>
      <c r="J23" s="280" t="s">
        <v>780</v>
      </c>
      <c r="K23" s="311">
        <v>10</v>
      </c>
      <c r="L23" s="280">
        <v>2520</v>
      </c>
    </row>
    <row r="24" spans="1:13">
      <c r="A24" s="273" t="s">
        <v>734</v>
      </c>
      <c r="B24" s="285" t="s">
        <v>730</v>
      </c>
      <c r="C24" s="273" t="e">
        <f>IF(C22&lt;=36000,0,IF(AND(C22&gt;36000,C22&lt;=144000),2520,IF(AND(144000&lt;C22,C22&lt;=300000),16920,IF(AND(300000&lt;C22,C22&lt;=420000),31920,IF(AND(420000&lt;C22,C22&lt;=660000),52920,IF(AND(C22&gt;660000,C22&lt;=960000),85920,181920))))))</f>
        <v>#VALUE!</v>
      </c>
      <c r="I24" s="280">
        <v>3</v>
      </c>
      <c r="J24" s="280" t="s">
        <v>781</v>
      </c>
      <c r="K24" s="311">
        <v>20</v>
      </c>
      <c r="L24" s="280">
        <v>16920</v>
      </c>
    </row>
    <row r="25" spans="1:13">
      <c r="A25" s="273" t="s">
        <v>736</v>
      </c>
      <c r="B25" s="285" t="s">
        <v>739</v>
      </c>
      <c r="C25" s="288" t="e">
        <f t="shared" ref="C25" si="0">C22*C23-C24</f>
        <v>#VALUE!</v>
      </c>
      <c r="I25" s="280">
        <v>4</v>
      </c>
      <c r="J25" s="280" t="s">
        <v>782</v>
      </c>
      <c r="K25" s="311">
        <v>25</v>
      </c>
      <c r="L25" s="280">
        <v>31920</v>
      </c>
    </row>
    <row r="26" spans="1:13">
      <c r="A26" s="273" t="s">
        <v>737</v>
      </c>
      <c r="B26" s="285" t="s">
        <v>740</v>
      </c>
      <c r="C26" s="273">
        <f>SUM(C27:C31)</f>
        <v>0</v>
      </c>
      <c r="I26" s="280">
        <v>5</v>
      </c>
      <c r="J26" s="280" t="s">
        <v>783</v>
      </c>
      <c r="K26" s="311">
        <v>30</v>
      </c>
      <c r="L26" s="280">
        <v>52920</v>
      </c>
    </row>
    <row r="27" spans="1:13">
      <c r="A27" s="273">
        <v>1</v>
      </c>
      <c r="B27" s="284" t="s">
        <v>741</v>
      </c>
      <c r="C27" s="273">
        <v>0</v>
      </c>
      <c r="I27" s="280">
        <v>6</v>
      </c>
      <c r="J27" s="280" t="s">
        <v>784</v>
      </c>
      <c r="K27" s="311">
        <v>35</v>
      </c>
      <c r="L27" s="280">
        <v>85920</v>
      </c>
    </row>
    <row r="28" spans="1:13">
      <c r="A28" s="273">
        <v>2</v>
      </c>
      <c r="B28" s="284" t="s">
        <v>742</v>
      </c>
      <c r="C28" s="273">
        <v>0</v>
      </c>
      <c r="I28" s="280">
        <v>7</v>
      </c>
      <c r="J28" s="280" t="s">
        <v>785</v>
      </c>
      <c r="K28" s="311">
        <v>45</v>
      </c>
      <c r="L28" s="280">
        <v>181920</v>
      </c>
    </row>
    <row r="29" spans="1:13">
      <c r="A29" s="273">
        <v>3</v>
      </c>
      <c r="B29" s="284" t="s">
        <v>743</v>
      </c>
      <c r="C29" s="273">
        <v>0</v>
      </c>
    </row>
    <row r="30" spans="1:13">
      <c r="A30" s="273">
        <v>4</v>
      </c>
      <c r="B30" s="284" t="s">
        <v>744</v>
      </c>
      <c r="C30" s="273">
        <v>0</v>
      </c>
    </row>
    <row r="31" spans="1:13">
      <c r="A31" s="273">
        <v>5</v>
      </c>
      <c r="B31" s="284" t="s">
        <v>745</v>
      </c>
      <c r="C31" s="273">
        <v>0</v>
      </c>
    </row>
    <row r="32" spans="1:13">
      <c r="A32" s="273" t="s">
        <v>746</v>
      </c>
      <c r="B32" s="285" t="s">
        <v>747</v>
      </c>
      <c r="C32" s="273">
        <f>C28*20%+IF(AND(C29&lt;4000,C29&gt;0),(C29-800)*20%,C29*(1-20%)*20%)+C30*(1-70%)*20%</f>
        <v>0</v>
      </c>
    </row>
    <row r="33" spans="1:4">
      <c r="A33" s="273" t="s">
        <v>748</v>
      </c>
      <c r="B33" s="285" t="s">
        <v>749</v>
      </c>
      <c r="C33" s="289" t="e">
        <f>C25+C32</f>
        <v>#VALUE!</v>
      </c>
    </row>
    <row r="34" spans="1:4">
      <c r="A34" s="273" t="s">
        <v>750</v>
      </c>
      <c r="B34" s="274" t="s">
        <v>738</v>
      </c>
      <c r="C34" s="287" t="e">
        <f>C33/C2</f>
        <v>#VALUE!</v>
      </c>
    </row>
    <row r="35" spans="1:4">
      <c r="C35" s="271"/>
      <c r="D35" s="275"/>
    </row>
  </sheetData>
  <mergeCells count="3">
    <mergeCell ref="J11:K11"/>
    <mergeCell ref="L11:M11"/>
    <mergeCell ref="A2:B2"/>
  </mergeCells>
  <phoneticPr fontId="46"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2044B7-D8FD-49BB-B280-40685BACDB81}">
  <dimension ref="A1:M35"/>
  <sheetViews>
    <sheetView zoomScale="96" zoomScaleNormal="96" workbookViewId="0">
      <selection activeCell="C10" sqref="C10:C13"/>
    </sheetView>
  </sheetViews>
  <sheetFormatPr defaultColWidth="9.1796875" defaultRowHeight="14"/>
  <cols>
    <col min="1" max="1" width="9.1796875" style="184"/>
    <col min="2" max="2" width="33.1796875" style="184" customWidth="1"/>
    <col min="3" max="3" width="21.1796875" style="184" customWidth="1"/>
    <col min="4" max="4" width="12.453125" style="184" customWidth="1"/>
    <col min="5" max="8" width="9.1796875" style="184"/>
    <col min="9" max="9" width="16.1796875" style="184" customWidth="1"/>
    <col min="10" max="10" width="33.81640625" style="184" customWidth="1"/>
    <col min="11" max="11" width="17.81640625" style="184" customWidth="1"/>
    <col min="12" max="12" width="15.1796875" style="184" customWidth="1"/>
    <col min="13" max="16384" width="9.1796875" style="184"/>
  </cols>
  <sheetData>
    <row r="1" spans="1:13">
      <c r="A1" s="272" t="s">
        <v>702</v>
      </c>
      <c r="B1" s="272" t="s">
        <v>703</v>
      </c>
      <c r="C1" s="272" t="s">
        <v>704</v>
      </c>
      <c r="D1" s="271"/>
      <c r="H1" s="275"/>
      <c r="I1" s="275"/>
    </row>
    <row r="2" spans="1:13">
      <c r="A2" s="351" t="s">
        <v>705</v>
      </c>
      <c r="B2" s="351"/>
      <c r="C2" s="273" t="e">
        <f>SUM(C4:C7)</f>
        <v>#VALUE!</v>
      </c>
      <c r="H2" s="275"/>
      <c r="I2" s="275"/>
    </row>
    <row r="3" spans="1:13">
      <c r="A3" s="273" t="s">
        <v>706</v>
      </c>
      <c r="B3" s="307" t="s">
        <v>707</v>
      </c>
      <c r="C3" s="273" t="e">
        <f>SUM(C4:C7)</f>
        <v>#VALUE!</v>
      </c>
    </row>
    <row r="4" spans="1:13">
      <c r="A4" s="273">
        <v>1</v>
      </c>
      <c r="B4" s="284" t="s">
        <v>709</v>
      </c>
      <c r="C4" s="291" t="e">
        <f>输入值【1】!C15*10000</f>
        <v>#VALUE!</v>
      </c>
      <c r="D4" s="275"/>
    </row>
    <row r="5" spans="1:13">
      <c r="A5" s="273">
        <v>2</v>
      </c>
      <c r="B5" s="284" t="s">
        <v>710</v>
      </c>
      <c r="C5" s="273">
        <v>0</v>
      </c>
    </row>
    <row r="6" spans="1:13">
      <c r="A6" s="273">
        <v>3</v>
      </c>
      <c r="B6" s="284" t="s">
        <v>711</v>
      </c>
      <c r="C6" s="273">
        <v>0</v>
      </c>
      <c r="I6" s="184" t="s">
        <v>786</v>
      </c>
    </row>
    <row r="7" spans="1:13">
      <c r="A7" s="273">
        <v>4</v>
      </c>
      <c r="B7" s="284" t="s">
        <v>712</v>
      </c>
      <c r="C7" s="273">
        <v>0</v>
      </c>
      <c r="I7" s="275">
        <v>139436</v>
      </c>
      <c r="J7" s="290">
        <f>I7/12</f>
        <v>11619.666666666666</v>
      </c>
      <c r="K7" s="275">
        <f>I7*3</f>
        <v>418308</v>
      </c>
    </row>
    <row r="8" spans="1:13">
      <c r="A8" s="273" t="s">
        <v>708</v>
      </c>
      <c r="B8" s="285" t="s">
        <v>713</v>
      </c>
      <c r="C8" s="273">
        <v>60000</v>
      </c>
    </row>
    <row r="9" spans="1:13">
      <c r="A9" s="273" t="s">
        <v>714</v>
      </c>
      <c r="B9" s="285" t="s">
        <v>715</v>
      </c>
      <c r="C9" s="288" t="e">
        <f>SUM(C10:C13)</f>
        <v>#VALUE!</v>
      </c>
    </row>
    <row r="10" spans="1:13">
      <c r="A10" s="273">
        <v>1</v>
      </c>
      <c r="B10" s="284" t="s">
        <v>716</v>
      </c>
      <c r="C10" s="289" t="e">
        <f>IF(C4&gt;输入值【1】!C13*3,输入值【1】!C13*3,C4)*8%</f>
        <v>#VALUE!</v>
      </c>
    </row>
    <row r="11" spans="1:13">
      <c r="A11" s="273">
        <v>2</v>
      </c>
      <c r="B11" s="284" t="s">
        <v>717</v>
      </c>
      <c r="C11" s="289" t="e">
        <f>IF(C4&gt;输入值【1】!C13*3,输入值【1】!C13*3,C4)*2%</f>
        <v>#VALUE!</v>
      </c>
      <c r="I11" s="280" t="s">
        <v>765</v>
      </c>
      <c r="J11" s="350" t="s">
        <v>766</v>
      </c>
      <c r="K11" s="350"/>
      <c r="L11" s="350" t="s">
        <v>767</v>
      </c>
      <c r="M11" s="350"/>
    </row>
    <row r="12" spans="1:13">
      <c r="A12" s="273">
        <v>3</v>
      </c>
      <c r="B12" s="284" t="s">
        <v>718</v>
      </c>
      <c r="C12" s="289" t="e">
        <f>IF(C4&gt;输入值【1】!C13*3,输入值【1】!C13*3,C4)*0.3%</f>
        <v>#VALUE!</v>
      </c>
      <c r="I12" s="278" t="s">
        <v>768</v>
      </c>
      <c r="J12" s="278" t="s">
        <v>769</v>
      </c>
      <c r="K12" s="279">
        <v>0.08</v>
      </c>
      <c r="L12" s="278" t="s">
        <v>769</v>
      </c>
      <c r="M12" s="279">
        <v>0.13</v>
      </c>
    </row>
    <row r="13" spans="1:13">
      <c r="A13" s="273">
        <v>4</v>
      </c>
      <c r="B13" s="284" t="s">
        <v>719</v>
      </c>
      <c r="C13" s="289" t="e">
        <f>IF(C4&gt;输入值【1】!C13*3,输入值【1】!C13*3,C4)*12%</f>
        <v>#VALUE!</v>
      </c>
      <c r="I13" s="280" t="s">
        <v>770</v>
      </c>
      <c r="J13" s="280" t="s">
        <v>769</v>
      </c>
      <c r="K13" s="281">
        <v>0.02</v>
      </c>
      <c r="L13" s="280" t="s">
        <v>769</v>
      </c>
      <c r="M13" s="282">
        <v>6.2E-2</v>
      </c>
    </row>
    <row r="14" spans="1:13">
      <c r="A14" s="273" t="s">
        <v>720</v>
      </c>
      <c r="B14" s="285" t="s">
        <v>721</v>
      </c>
      <c r="C14" s="273">
        <f>SUM(C15:C20)</f>
        <v>54000</v>
      </c>
      <c r="I14" s="278" t="s">
        <v>771</v>
      </c>
      <c r="J14" s="278" t="s">
        <v>769</v>
      </c>
      <c r="K14" s="283">
        <v>3.0000000000000001E-3</v>
      </c>
      <c r="L14" s="278" t="s">
        <v>769</v>
      </c>
      <c r="M14" s="279">
        <v>7.0000000000000001E-3</v>
      </c>
    </row>
    <row r="15" spans="1:13">
      <c r="A15" s="273">
        <v>1</v>
      </c>
      <c r="B15" s="284" t="s">
        <v>722</v>
      </c>
      <c r="C15" s="273">
        <f>1000*1*12</f>
        <v>12000</v>
      </c>
      <c r="I15" s="280" t="s">
        <v>772</v>
      </c>
      <c r="J15" s="280" t="s">
        <v>769</v>
      </c>
      <c r="K15" s="280" t="s">
        <v>769</v>
      </c>
      <c r="L15" s="280" t="s">
        <v>769</v>
      </c>
      <c r="M15" s="282">
        <v>4.8999999999999998E-3</v>
      </c>
    </row>
    <row r="16" spans="1:13">
      <c r="A16" s="273">
        <v>2</v>
      </c>
      <c r="B16" s="284" t="s">
        <v>723</v>
      </c>
      <c r="C16" s="273">
        <v>0</v>
      </c>
      <c r="I16" s="278" t="s">
        <v>773</v>
      </c>
      <c r="J16" s="278" t="s">
        <v>769</v>
      </c>
      <c r="K16" s="278" t="s">
        <v>769</v>
      </c>
      <c r="L16" s="278" t="s">
        <v>769</v>
      </c>
      <c r="M16" s="283">
        <v>5.0000000000000001E-3</v>
      </c>
    </row>
    <row r="17" spans="1:13">
      <c r="A17" s="273">
        <v>3</v>
      </c>
      <c r="B17" s="284" t="s">
        <v>725</v>
      </c>
      <c r="C17" s="273">
        <v>0</v>
      </c>
      <c r="I17" s="280" t="s">
        <v>719</v>
      </c>
      <c r="J17" s="280" t="s">
        <v>769</v>
      </c>
      <c r="K17" s="281">
        <v>0.12</v>
      </c>
      <c r="L17" s="280" t="s">
        <v>769</v>
      </c>
      <c r="M17" s="281">
        <v>0.12</v>
      </c>
    </row>
    <row r="18" spans="1:13">
      <c r="A18" s="273">
        <v>4</v>
      </c>
      <c r="B18" s="284" t="s">
        <v>728</v>
      </c>
      <c r="C18" s="273">
        <v>0</v>
      </c>
      <c r="I18" s="278" t="s">
        <v>774</v>
      </c>
      <c r="J18" s="278" t="s">
        <v>769</v>
      </c>
      <c r="K18" s="278" t="s">
        <v>769</v>
      </c>
      <c r="L18" s="278" t="s">
        <v>769</v>
      </c>
      <c r="M18" s="278" t="s">
        <v>769</v>
      </c>
    </row>
    <row r="19" spans="1:13">
      <c r="A19" s="273">
        <v>5</v>
      </c>
      <c r="B19" s="284" t="s">
        <v>731</v>
      </c>
      <c r="C19" s="273">
        <f>1500*12</f>
        <v>18000</v>
      </c>
    </row>
    <row r="20" spans="1:13">
      <c r="A20" s="273">
        <v>6</v>
      </c>
      <c r="B20" s="284" t="s">
        <v>733</v>
      </c>
      <c r="C20" s="273">
        <f>2000*12</f>
        <v>24000</v>
      </c>
    </row>
    <row r="21" spans="1:13">
      <c r="A21" s="273" t="s">
        <v>726</v>
      </c>
      <c r="B21" s="285" t="s">
        <v>735</v>
      </c>
      <c r="C21" s="273">
        <v>0</v>
      </c>
      <c r="I21" s="280" t="s">
        <v>775</v>
      </c>
      <c r="J21" s="280" t="s">
        <v>776</v>
      </c>
      <c r="K21" s="280" t="s">
        <v>777</v>
      </c>
      <c r="L21" s="280" t="s">
        <v>778</v>
      </c>
    </row>
    <row r="22" spans="1:13">
      <c r="A22" s="273" t="s">
        <v>729</v>
      </c>
      <c r="B22" s="285" t="s">
        <v>724</v>
      </c>
      <c r="C22" s="288" t="e">
        <f>C4+C5*80%+C6*80%*70%+C7*80%-C8-C9-C14-C21</f>
        <v>#VALUE!</v>
      </c>
      <c r="I22" s="280">
        <v>1</v>
      </c>
      <c r="J22" s="280" t="s">
        <v>779</v>
      </c>
      <c r="K22" s="280">
        <v>3</v>
      </c>
      <c r="L22" s="280">
        <v>0</v>
      </c>
    </row>
    <row r="23" spans="1:13">
      <c r="A23" s="273" t="s">
        <v>732</v>
      </c>
      <c r="B23" s="285" t="s">
        <v>727</v>
      </c>
      <c r="C23" s="286" t="e">
        <f>IF(C22&lt;=36000,3%,IF(AND(C22&gt;36000,C22&lt;=144000),10%,IF(AND(144000&lt;C22,C22&lt;=300000),20%,IF(AND(300000&lt;C22,C22&lt;=420000),25%,IF(AND(420000&lt;C22,C22&lt;=660000),30%,IF(AND(C22&gt;660000,C22&lt;=960000),35%,45%))))))</f>
        <v>#VALUE!</v>
      </c>
      <c r="I23" s="280">
        <v>2</v>
      </c>
      <c r="J23" s="280" t="s">
        <v>780</v>
      </c>
      <c r="K23" s="280">
        <v>10</v>
      </c>
      <c r="L23" s="280">
        <v>2520</v>
      </c>
    </row>
    <row r="24" spans="1:13">
      <c r="A24" s="273" t="s">
        <v>734</v>
      </c>
      <c r="B24" s="285" t="s">
        <v>730</v>
      </c>
      <c r="C24" s="273" t="e">
        <f>IF(C22&lt;=36000,0,IF(AND(C22&gt;36000,C22&lt;=144000),2520,IF(AND(144000&lt;C22,C22&lt;=300000),16920,IF(AND(300000&lt;C22,C22&lt;=420000),31920,IF(AND(420000&lt;C22,C22&lt;=660000),52920,IF(AND(C22&gt;660000,C22&lt;=960000),85920,181920))))))</f>
        <v>#VALUE!</v>
      </c>
      <c r="I24" s="280">
        <v>3</v>
      </c>
      <c r="J24" s="280" t="s">
        <v>781</v>
      </c>
      <c r="K24" s="280">
        <v>20</v>
      </c>
      <c r="L24" s="280">
        <v>16920</v>
      </c>
    </row>
    <row r="25" spans="1:13">
      <c r="A25" s="273" t="s">
        <v>736</v>
      </c>
      <c r="B25" s="285" t="s">
        <v>739</v>
      </c>
      <c r="C25" s="288" t="e">
        <f t="shared" ref="C25" si="0">C22*C23-C24</f>
        <v>#VALUE!</v>
      </c>
      <c r="I25" s="280">
        <v>4</v>
      </c>
      <c r="J25" s="280" t="s">
        <v>782</v>
      </c>
      <c r="K25" s="280">
        <v>25</v>
      </c>
      <c r="L25" s="280">
        <v>31920</v>
      </c>
    </row>
    <row r="26" spans="1:13">
      <c r="A26" s="273" t="s">
        <v>737</v>
      </c>
      <c r="B26" s="285" t="s">
        <v>740</v>
      </c>
      <c r="C26" s="273">
        <f>SUM(C27:C31)</f>
        <v>0</v>
      </c>
      <c r="I26" s="280">
        <v>5</v>
      </c>
      <c r="J26" s="280" t="s">
        <v>783</v>
      </c>
      <c r="K26" s="280">
        <v>30</v>
      </c>
      <c r="L26" s="280">
        <v>52920</v>
      </c>
    </row>
    <row r="27" spans="1:13">
      <c r="A27" s="273">
        <v>1</v>
      </c>
      <c r="B27" s="284" t="s">
        <v>741</v>
      </c>
      <c r="C27" s="273">
        <v>0</v>
      </c>
      <c r="I27" s="280">
        <v>6</v>
      </c>
      <c r="J27" s="280" t="s">
        <v>784</v>
      </c>
      <c r="K27" s="280">
        <v>35</v>
      </c>
      <c r="L27" s="280">
        <v>85920</v>
      </c>
    </row>
    <row r="28" spans="1:13">
      <c r="A28" s="273">
        <v>2</v>
      </c>
      <c r="B28" s="284" t="s">
        <v>742</v>
      </c>
      <c r="C28" s="273">
        <v>0</v>
      </c>
      <c r="I28" s="280">
        <v>7</v>
      </c>
      <c r="J28" s="280" t="s">
        <v>785</v>
      </c>
      <c r="K28" s="280">
        <v>45</v>
      </c>
      <c r="L28" s="280">
        <v>181920</v>
      </c>
    </row>
    <row r="29" spans="1:13">
      <c r="A29" s="273">
        <v>3</v>
      </c>
      <c r="B29" s="284" t="s">
        <v>743</v>
      </c>
      <c r="C29" s="273">
        <v>0</v>
      </c>
    </row>
    <row r="30" spans="1:13">
      <c r="A30" s="273">
        <v>4</v>
      </c>
      <c r="B30" s="284" t="s">
        <v>744</v>
      </c>
      <c r="C30" s="273">
        <v>0</v>
      </c>
    </row>
    <row r="31" spans="1:13">
      <c r="A31" s="273">
        <v>5</v>
      </c>
      <c r="B31" s="284" t="s">
        <v>745</v>
      </c>
      <c r="C31" s="273">
        <v>0</v>
      </c>
    </row>
    <row r="32" spans="1:13">
      <c r="A32" s="273" t="s">
        <v>746</v>
      </c>
      <c r="B32" s="285" t="s">
        <v>747</v>
      </c>
      <c r="C32" s="273">
        <f>C28*20%+IF(AND(C29&lt;4000,C29&gt;0),(C29-800)*20%,C29*(1-20%)*20%)+C30*(1-70%)*20%</f>
        <v>0</v>
      </c>
    </row>
    <row r="33" spans="1:4">
      <c r="A33" s="273" t="s">
        <v>748</v>
      </c>
      <c r="B33" s="285" t="s">
        <v>749</v>
      </c>
      <c r="C33" s="289" t="e">
        <f>C25+C32</f>
        <v>#VALUE!</v>
      </c>
    </row>
    <row r="34" spans="1:4">
      <c r="A34" s="273" t="s">
        <v>750</v>
      </c>
      <c r="B34" s="274" t="s">
        <v>738</v>
      </c>
      <c r="C34" s="287" t="e">
        <f>C33/C2</f>
        <v>#VALUE!</v>
      </c>
    </row>
    <row r="35" spans="1:4">
      <c r="C35" s="271"/>
      <c r="D35" s="275"/>
    </row>
  </sheetData>
  <mergeCells count="3">
    <mergeCell ref="A2:B2"/>
    <mergeCell ref="J11:K11"/>
    <mergeCell ref="L11:M11"/>
  </mergeCells>
  <phoneticPr fontId="7" type="noConversion"/>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28</vt:i4>
      </vt:variant>
    </vt:vector>
  </HeadingPairs>
  <TitlesOfParts>
    <vt:vector size="28" baseType="lpstr">
      <vt:lpstr>金融行业主要类型</vt:lpstr>
      <vt:lpstr>输入值【1】</vt:lpstr>
      <vt:lpstr>输出值1-总投资及收入估算表</vt:lpstr>
      <vt:lpstr>城商银行参数</vt:lpstr>
      <vt:lpstr>城商行应交税费</vt:lpstr>
      <vt:lpstr>国有银行参数 </vt:lpstr>
      <vt:lpstr>国有银行应交税费 </vt:lpstr>
      <vt:lpstr>个税计算表（高层）</vt:lpstr>
      <vt:lpstr>个税计算表 (中层)</vt:lpstr>
      <vt:lpstr>个税计算表 (普通)</vt:lpstr>
      <vt:lpstr>个税计算表 (通用) </vt:lpstr>
      <vt:lpstr>其他非银金融服务参数</vt:lpstr>
      <vt:lpstr>拉卡拉网点</vt:lpstr>
      <vt:lpstr>银行网点统计</vt:lpstr>
      <vt:lpstr>银行</vt:lpstr>
      <vt:lpstr>券商</vt:lpstr>
      <vt:lpstr>输入参数</vt:lpstr>
      <vt:lpstr>营收预测</vt:lpstr>
      <vt:lpstr>成本预测</vt:lpstr>
      <vt:lpstr>总投资估算表</vt:lpstr>
      <vt:lpstr>营业收入估算表</vt:lpstr>
      <vt:lpstr>总成本费用估算表</vt:lpstr>
      <vt:lpstr>折旧费用估算表</vt:lpstr>
      <vt:lpstr>摊销费用估算表</vt:lpstr>
      <vt:lpstr>还本付息表</vt:lpstr>
      <vt:lpstr>利润表</vt:lpstr>
      <vt:lpstr>项目全投资现金流量表</vt:lpstr>
      <vt:lpstr>项目资本金现金流量表</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第一章</dc:title>
  <dc:creator>微软用户</dc:creator>
  <cp:lastModifiedBy>Kevin Wang</cp:lastModifiedBy>
  <dcterms:created xsi:type="dcterms:W3CDTF">2020-11-13T15:57:23Z</dcterms:created>
  <dcterms:modified xsi:type="dcterms:W3CDTF">2022-06-29T01:22:39Z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2052-2.6.1.4274</vt:lpwstr>
  </property>
</Properties>
</file>